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5" yWindow="15" windowWidth="13815" windowHeight="12735" tabRatio="845" activeTab="2"/>
  </bookViews>
  <sheets>
    <sheet name="id_ma_D1_2014" sheetId="51" r:id="rId1"/>
    <sheet name="mn_D1_2013" sheetId="59" r:id="rId2"/>
    <sheet name="cn_E1_2014" sheetId="54" r:id="rId3"/>
    <sheet name="cn_E2_2014" sheetId="55" r:id="rId4"/>
    <sheet name="cn_E3_2014" sheetId="57" r:id="rId5"/>
    <sheet name="cn_id_E4_2014" sheetId="58" r:id="rId6"/>
    <sheet name="jp_E1_2014" sheetId="49" r:id="rId7"/>
    <sheet name="jp_E2_2014" sheetId="50" r:id="rId8"/>
    <sheet name="cn_F1" sheetId="60" r:id="rId9"/>
    <sheet name="cn_F2" sheetId="62" r:id="rId10"/>
    <sheet name="cn_F3" sheetId="61" r:id="rId11"/>
    <sheet name="cn_G1" sheetId="63" r:id="rId12"/>
    <sheet name="cn_G2" sheetId="65" r:id="rId13"/>
    <sheet name="cn_G3" sheetId="64" r:id="rId14"/>
  </sheets>
  <definedNames>
    <definedName name="_xlnm.Print_Area" localSheetId="2">cn_E1_2014!$A$1:$S$46</definedName>
    <definedName name="_xlnm.Print_Area" localSheetId="8">cn_F1!$A$1:$E$161</definedName>
    <definedName name="_xlnm.Print_Area" localSheetId="9">cn_F2!$A$1:$E$156</definedName>
    <definedName name="_xlnm.Print_Area" localSheetId="10">cn_F3!$A$1:$E$150</definedName>
    <definedName name="_xlnm.Print_Area" localSheetId="11">cn_G1!$A$1:$E$61</definedName>
    <definedName name="_xlnm.Print_Area" localSheetId="12">cn_G2!$A$1:$E$50</definedName>
    <definedName name="_xlnm.Print_Area" localSheetId="13">cn_G3!$A$1:$E$50</definedName>
    <definedName name="_xlnm.Print_Area" localSheetId="5">cn_id_E4_2014!$A$1:$V$44</definedName>
    <definedName name="_xlnm.Print_Area" localSheetId="0">id_ma_D1_2014!$A$1:$T$56</definedName>
    <definedName name="_xlnm.Print_Area" localSheetId="6">jp_E1_2014!$A$1:$V$44</definedName>
    <definedName name="_xlnm.Print_Area" localSheetId="7">jp_E2_2014!$A$1:$V$45</definedName>
    <definedName name="_xlnm.Print_Area" localSheetId="1">mn_D1_2013!$A$1:$T$67</definedName>
  </definedNames>
  <calcPr calcId="152511" concurrentCalc="0"/>
</workbook>
</file>

<file path=xl/calcChain.xml><?xml version="1.0" encoding="utf-8"?>
<calcChain xmlns="http://schemas.openxmlformats.org/spreadsheetml/2006/main">
  <c r="I114" i="61" l="1"/>
  <c r="I113" i="61"/>
  <c r="I112" i="61"/>
  <c r="I111" i="61"/>
  <c r="I110" i="61"/>
  <c r="I109" i="61"/>
  <c r="I108" i="61"/>
  <c r="I107" i="61"/>
  <c r="I106" i="61"/>
  <c r="I105" i="61"/>
  <c r="I104" i="61"/>
  <c r="I103" i="61"/>
  <c r="I102" i="61"/>
  <c r="I101" i="61"/>
  <c r="I100" i="61"/>
  <c r="I99" i="61"/>
  <c r="I98" i="61"/>
  <c r="I97" i="61"/>
  <c r="I96" i="61"/>
  <c r="I95" i="61"/>
  <c r="I94" i="61"/>
  <c r="I93" i="61"/>
  <c r="I92" i="61"/>
  <c r="I91" i="61"/>
  <c r="I90" i="61"/>
  <c r="I89" i="61"/>
  <c r="I88" i="61"/>
  <c r="I87" i="61"/>
  <c r="I86" i="61"/>
  <c r="I85" i="61"/>
  <c r="I84" i="61"/>
  <c r="I83" i="61"/>
  <c r="I82" i="61"/>
  <c r="I81" i="61"/>
  <c r="I80" i="61"/>
  <c r="I79" i="61"/>
  <c r="I78" i="61"/>
  <c r="I77" i="61"/>
  <c r="I76" i="61"/>
  <c r="I75" i="61"/>
  <c r="I74" i="61"/>
  <c r="H75" i="61"/>
  <c r="H76" i="61"/>
  <c r="H77" i="61"/>
  <c r="H78" i="61"/>
  <c r="H79" i="61"/>
  <c r="H80" i="61"/>
  <c r="H81" i="61"/>
  <c r="H82" i="61"/>
  <c r="H83" i="61"/>
  <c r="H84" i="61"/>
  <c r="H85" i="61"/>
  <c r="H86" i="61"/>
  <c r="H87" i="61"/>
  <c r="H88" i="61"/>
  <c r="H89" i="61"/>
  <c r="H90" i="61"/>
  <c r="H91" i="61"/>
  <c r="H92" i="61"/>
  <c r="H93" i="61"/>
  <c r="H94" i="61"/>
  <c r="H95" i="61"/>
  <c r="H96" i="61"/>
  <c r="H97" i="61"/>
  <c r="H98" i="61"/>
  <c r="H99" i="61"/>
  <c r="H100" i="61"/>
  <c r="H101" i="61"/>
  <c r="H102" i="61"/>
  <c r="H103" i="61"/>
  <c r="H104" i="61"/>
  <c r="H105" i="61"/>
  <c r="H106" i="61"/>
  <c r="H107" i="61"/>
  <c r="H108" i="61"/>
  <c r="H109" i="61"/>
  <c r="H110" i="61"/>
  <c r="H111" i="61"/>
  <c r="H112" i="61"/>
  <c r="H113" i="61"/>
  <c r="H114" i="61"/>
  <c r="H74" i="61"/>
  <c r="I68" i="61"/>
  <c r="I67" i="61"/>
  <c r="I66" i="61"/>
  <c r="I65" i="61"/>
  <c r="I64" i="61"/>
  <c r="I63" i="61"/>
  <c r="I62" i="61"/>
  <c r="I61" i="61"/>
  <c r="I60" i="61"/>
  <c r="I59" i="61"/>
  <c r="I58" i="61"/>
  <c r="I57" i="61"/>
  <c r="I56" i="61"/>
  <c r="I55" i="61"/>
  <c r="I54" i="61"/>
  <c r="I53" i="61"/>
  <c r="I52" i="61"/>
  <c r="I51" i="61"/>
  <c r="I50" i="61"/>
  <c r="I49" i="61"/>
  <c r="I48" i="61"/>
  <c r="I47" i="61"/>
  <c r="I46" i="61"/>
  <c r="I45" i="61"/>
  <c r="I44" i="61"/>
  <c r="I43" i="61"/>
  <c r="I42" i="61"/>
  <c r="I41" i="61"/>
  <c r="I40" i="61"/>
  <c r="I39" i="61"/>
  <c r="I38" i="61"/>
  <c r="I37" i="61"/>
  <c r="I36" i="61"/>
  <c r="I35" i="61"/>
  <c r="I34" i="61"/>
  <c r="I33" i="61"/>
  <c r="I32" i="61"/>
  <c r="I31" i="61"/>
  <c r="I30" i="61"/>
  <c r="I29" i="61"/>
  <c r="I28" i="61"/>
  <c r="I27" i="61"/>
  <c r="I26" i="61"/>
  <c r="I25" i="61"/>
  <c r="I24" i="61"/>
  <c r="I23" i="61"/>
  <c r="I22" i="61"/>
  <c r="I21" i="61"/>
  <c r="I20" i="61"/>
  <c r="I19" i="61"/>
  <c r="I18" i="61"/>
  <c r="I17" i="61"/>
  <c r="I16" i="61"/>
  <c r="I15" i="61"/>
  <c r="I14" i="61"/>
  <c r="I13" i="61"/>
  <c r="I12" i="61"/>
  <c r="I11" i="61"/>
  <c r="I10" i="61"/>
  <c r="I9" i="61"/>
  <c r="H10" i="61"/>
  <c r="H11" i="61"/>
  <c r="H12" i="61"/>
  <c r="H13" i="61"/>
  <c r="H14" i="61"/>
  <c r="H15" i="61"/>
  <c r="H16" i="61"/>
  <c r="H17" i="61"/>
  <c r="H18" i="61"/>
  <c r="H19" i="61"/>
  <c r="H20" i="61"/>
  <c r="H21" i="61"/>
  <c r="H22" i="61"/>
  <c r="H23" i="61"/>
  <c r="H24" i="61"/>
  <c r="H25" i="61"/>
  <c r="H26" i="61"/>
  <c r="H27" i="61"/>
  <c r="H28" i="61"/>
  <c r="H29" i="61"/>
  <c r="H30" i="61"/>
  <c r="H31" i="61"/>
  <c r="H32" i="61"/>
  <c r="H33" i="61"/>
  <c r="H34" i="61"/>
  <c r="H35" i="61"/>
  <c r="H36" i="61"/>
  <c r="H37" i="61"/>
  <c r="H38" i="61"/>
  <c r="H39" i="61"/>
  <c r="H40" i="61"/>
  <c r="H41" i="61"/>
  <c r="H42" i="61"/>
  <c r="H43" i="61"/>
  <c r="H44" i="61"/>
  <c r="H45" i="61"/>
  <c r="H46" i="61"/>
  <c r="H47" i="61"/>
  <c r="H48" i="61"/>
  <c r="H49" i="61"/>
  <c r="H50" i="61"/>
  <c r="H51" i="61"/>
  <c r="H52" i="61"/>
  <c r="H53" i="61"/>
  <c r="H54" i="61"/>
  <c r="H55" i="61"/>
  <c r="H56" i="61"/>
  <c r="H57" i="61"/>
  <c r="H58" i="61"/>
  <c r="H59" i="61"/>
  <c r="H60" i="61"/>
  <c r="H61" i="61"/>
  <c r="H62" i="61"/>
  <c r="H63" i="61"/>
  <c r="H64" i="61"/>
  <c r="H65" i="61"/>
  <c r="H66" i="61"/>
  <c r="H67" i="61"/>
  <c r="H68" i="61"/>
  <c r="H9" i="61"/>
  <c r="I139" i="62"/>
  <c r="I138" i="62"/>
  <c r="I137" i="62"/>
  <c r="I136" i="62"/>
  <c r="I135" i="62"/>
  <c r="I134" i="62"/>
  <c r="I133" i="62"/>
  <c r="I132" i="62"/>
  <c r="I131" i="62"/>
  <c r="I130" i="62"/>
  <c r="I129" i="62"/>
  <c r="I128" i="62"/>
  <c r="I127" i="62"/>
  <c r="I126" i="62"/>
  <c r="I125" i="62"/>
  <c r="I124" i="62"/>
  <c r="I123" i="62"/>
  <c r="I122" i="62"/>
  <c r="I121" i="62"/>
  <c r="I120" i="62"/>
  <c r="I119" i="62"/>
  <c r="I118" i="62"/>
  <c r="I117" i="62"/>
  <c r="I116" i="62"/>
  <c r="I115" i="62"/>
  <c r="I114" i="62"/>
  <c r="I113" i="62"/>
  <c r="I112" i="62"/>
  <c r="I111" i="62"/>
  <c r="I110" i="62"/>
  <c r="I109" i="62"/>
  <c r="I108" i="62"/>
  <c r="I107" i="62"/>
  <c r="I106" i="62"/>
  <c r="I105" i="62"/>
  <c r="I104" i="62"/>
  <c r="I103" i="62"/>
  <c r="I102" i="62"/>
  <c r="I101" i="62"/>
  <c r="I100" i="62"/>
  <c r="I99" i="62"/>
  <c r="I98" i="62"/>
  <c r="I97" i="62"/>
  <c r="I96" i="62"/>
  <c r="I95" i="62"/>
  <c r="I94" i="62"/>
  <c r="I93" i="62"/>
  <c r="I92" i="62"/>
  <c r="I91" i="62"/>
  <c r="I90" i="62"/>
  <c r="I89" i="62"/>
  <c r="I88" i="62"/>
  <c r="I87" i="62"/>
  <c r="I86" i="62"/>
  <c r="I85" i="62"/>
  <c r="I84" i="62"/>
  <c r="I83" i="62"/>
  <c r="I82" i="62"/>
  <c r="I81" i="62"/>
  <c r="I80" i="62"/>
  <c r="I79" i="62"/>
  <c r="I78" i="62"/>
  <c r="I77" i="62"/>
  <c r="I76" i="62"/>
  <c r="I75" i="62"/>
  <c r="I74" i="62"/>
  <c r="H139" i="62"/>
  <c r="H138" i="62"/>
  <c r="H137" i="62"/>
  <c r="H136" i="62"/>
  <c r="H135" i="62"/>
  <c r="H134" i="62"/>
  <c r="H133" i="62"/>
  <c r="H132" i="62"/>
  <c r="H131" i="62"/>
  <c r="H130" i="62"/>
  <c r="H129" i="62"/>
  <c r="H128" i="62"/>
  <c r="H127" i="62"/>
  <c r="H126" i="62"/>
  <c r="H125" i="62"/>
  <c r="H124" i="62"/>
  <c r="H123" i="62"/>
  <c r="H122" i="62"/>
  <c r="H121" i="62"/>
  <c r="H120" i="62"/>
  <c r="H119" i="62"/>
  <c r="H118" i="62"/>
  <c r="H117" i="62"/>
  <c r="H116" i="62"/>
  <c r="H115" i="62"/>
  <c r="H114" i="62"/>
  <c r="H113" i="62"/>
  <c r="H112" i="62"/>
  <c r="H111" i="62"/>
  <c r="H110" i="62"/>
  <c r="H109" i="62"/>
  <c r="H108" i="62"/>
  <c r="H107" i="62"/>
  <c r="H106" i="62"/>
  <c r="H105" i="62"/>
  <c r="H104" i="62"/>
  <c r="H103" i="62"/>
  <c r="H102" i="62"/>
  <c r="H101" i="62"/>
  <c r="H100" i="62"/>
  <c r="H99" i="62"/>
  <c r="H98" i="62"/>
  <c r="H97" i="62"/>
  <c r="H96" i="62"/>
  <c r="H95" i="62"/>
  <c r="H94" i="62"/>
  <c r="H93" i="62"/>
  <c r="H92" i="62"/>
  <c r="H91" i="62"/>
  <c r="H90" i="62"/>
  <c r="H89" i="62"/>
  <c r="H88" i="62"/>
  <c r="H87" i="62"/>
  <c r="H86" i="62"/>
  <c r="H85" i="62"/>
  <c r="H84" i="62"/>
  <c r="H83" i="62"/>
  <c r="H82" i="62"/>
  <c r="H81" i="62"/>
  <c r="H80" i="62"/>
  <c r="H79" i="62"/>
  <c r="H78" i="62"/>
  <c r="H77" i="62"/>
  <c r="H76" i="62"/>
  <c r="H75" i="62"/>
  <c r="H74" i="62"/>
  <c r="I68" i="62"/>
  <c r="I67" i="62"/>
  <c r="I66" i="62"/>
  <c r="I65" i="62"/>
  <c r="I64" i="62"/>
  <c r="I63" i="62"/>
  <c r="I62" i="62"/>
  <c r="I61" i="62"/>
  <c r="I60" i="62"/>
  <c r="I59" i="62"/>
  <c r="I58" i="62"/>
  <c r="I57" i="62"/>
  <c r="I56" i="62"/>
  <c r="I55" i="62"/>
  <c r="I54" i="62"/>
  <c r="I53" i="62"/>
  <c r="I52" i="62"/>
  <c r="I51" i="62"/>
  <c r="I50" i="62"/>
  <c r="I49" i="62"/>
  <c r="I48" i="62"/>
  <c r="I47" i="62"/>
  <c r="I46" i="62"/>
  <c r="I45" i="62"/>
  <c r="I44" i="62"/>
  <c r="I43" i="62"/>
  <c r="I42" i="62"/>
  <c r="I41" i="62"/>
  <c r="I40" i="62"/>
  <c r="I39" i="62"/>
  <c r="I38" i="62"/>
  <c r="I37" i="62"/>
  <c r="I36" i="62"/>
  <c r="I35" i="62"/>
  <c r="I34" i="62"/>
  <c r="I33" i="62"/>
  <c r="I32" i="62"/>
  <c r="I31" i="62"/>
  <c r="I30" i="62"/>
  <c r="I29" i="62"/>
  <c r="I28" i="62"/>
  <c r="I27" i="62"/>
  <c r="I26" i="62"/>
  <c r="I25" i="62"/>
  <c r="I24" i="62"/>
  <c r="I23" i="62"/>
  <c r="I22" i="62"/>
  <c r="I21" i="62"/>
  <c r="I20" i="62"/>
  <c r="I19" i="62"/>
  <c r="I18" i="62"/>
  <c r="I17" i="62"/>
  <c r="I16" i="62"/>
  <c r="I15" i="62"/>
  <c r="I14" i="62"/>
  <c r="I13" i="62"/>
  <c r="I12" i="62"/>
  <c r="I11" i="62"/>
  <c r="I10" i="62"/>
  <c r="I9" i="62"/>
  <c r="H10" i="62"/>
  <c r="H11" i="62"/>
  <c r="H12" i="62"/>
  <c r="H13" i="62"/>
  <c r="H14" i="62"/>
  <c r="H15" i="62"/>
  <c r="H16" i="62"/>
  <c r="H17" i="62"/>
  <c r="H18" i="62"/>
  <c r="H19" i="62"/>
  <c r="H20" i="62"/>
  <c r="H21" i="62"/>
  <c r="H22" i="62"/>
  <c r="H23" i="62"/>
  <c r="H24" i="62"/>
  <c r="H25" i="62"/>
  <c r="H26" i="62"/>
  <c r="H27" i="62"/>
  <c r="H28" i="62"/>
  <c r="H29" i="62"/>
  <c r="H30" i="62"/>
  <c r="H31" i="62"/>
  <c r="H32" i="62"/>
  <c r="H33" i="62"/>
  <c r="H34" i="62"/>
  <c r="H35" i="62"/>
  <c r="H36" i="62"/>
  <c r="H37" i="62"/>
  <c r="H38" i="62"/>
  <c r="H39" i="62"/>
  <c r="H40" i="62"/>
  <c r="H41" i="62"/>
  <c r="H42" i="62"/>
  <c r="H43" i="62"/>
  <c r="H44" i="62"/>
  <c r="H45" i="62"/>
  <c r="H46" i="62"/>
  <c r="H47" i="62"/>
  <c r="H48" i="62"/>
  <c r="H49" i="62"/>
  <c r="H50" i="62"/>
  <c r="H51" i="62"/>
  <c r="H52" i="62"/>
  <c r="H53" i="62"/>
  <c r="H54" i="62"/>
  <c r="H55" i="62"/>
  <c r="H56" i="62"/>
  <c r="H57" i="62"/>
  <c r="H58" i="62"/>
  <c r="H59" i="62"/>
  <c r="H60" i="62"/>
  <c r="H61" i="62"/>
  <c r="H62" i="62"/>
  <c r="H63" i="62"/>
  <c r="H64" i="62"/>
  <c r="H65" i="62"/>
  <c r="H66" i="62"/>
  <c r="H67" i="62"/>
  <c r="H68" i="62"/>
  <c r="H9" i="62"/>
  <c r="I123" i="60"/>
  <c r="I122" i="60"/>
  <c r="I121" i="60"/>
  <c r="I120" i="60"/>
  <c r="I119" i="60"/>
  <c r="I118" i="60"/>
  <c r="I117" i="60"/>
  <c r="I116" i="60"/>
  <c r="I115" i="60"/>
  <c r="I114" i="60"/>
  <c r="I113" i="60"/>
  <c r="I112" i="60"/>
  <c r="I111" i="60"/>
  <c r="I110" i="60"/>
  <c r="I109" i="60"/>
  <c r="I108" i="60"/>
  <c r="I107" i="60"/>
  <c r="I106" i="60"/>
  <c r="I105" i="60"/>
  <c r="I104" i="60"/>
  <c r="I103" i="60"/>
  <c r="I102" i="60"/>
  <c r="I101" i="60"/>
  <c r="I100" i="60"/>
  <c r="I99" i="60"/>
  <c r="I98" i="60"/>
  <c r="I97" i="60"/>
  <c r="I96" i="60"/>
  <c r="I95" i="60"/>
  <c r="I94" i="60"/>
  <c r="I93" i="60"/>
  <c r="I92" i="60"/>
  <c r="I91" i="60"/>
  <c r="I90" i="60"/>
  <c r="I89" i="60"/>
  <c r="I88" i="60"/>
  <c r="I87" i="60"/>
  <c r="I86" i="60"/>
  <c r="H123" i="60"/>
  <c r="H122" i="60"/>
  <c r="H121" i="60"/>
  <c r="H120" i="60"/>
  <c r="H119" i="60"/>
  <c r="H118" i="60"/>
  <c r="H117" i="60"/>
  <c r="H116" i="60"/>
  <c r="H115" i="60"/>
  <c r="H114" i="60"/>
  <c r="H113" i="60"/>
  <c r="H112" i="60"/>
  <c r="H111" i="60"/>
  <c r="H110" i="60"/>
  <c r="H109" i="60"/>
  <c r="H108" i="60"/>
  <c r="H107" i="60"/>
  <c r="H106" i="60"/>
  <c r="H105" i="60"/>
  <c r="H104" i="60"/>
  <c r="H103" i="60"/>
  <c r="H102" i="60"/>
  <c r="H101" i="60"/>
  <c r="H100" i="60"/>
  <c r="H99" i="60"/>
  <c r="H98" i="60"/>
  <c r="H97" i="60"/>
  <c r="H96" i="60"/>
  <c r="H95" i="60"/>
  <c r="H94" i="60"/>
  <c r="H93" i="60"/>
  <c r="H92" i="60"/>
  <c r="H91" i="60"/>
  <c r="H90" i="60"/>
  <c r="H89" i="60"/>
  <c r="H88" i="60"/>
  <c r="H87" i="60"/>
  <c r="H86" i="60"/>
  <c r="I79" i="60"/>
  <c r="I78" i="60"/>
  <c r="I77" i="60"/>
  <c r="I76" i="60"/>
  <c r="I75" i="60"/>
  <c r="I74" i="60"/>
  <c r="I73" i="60"/>
  <c r="I72" i="60"/>
  <c r="I71" i="60"/>
  <c r="I70" i="60"/>
  <c r="I69" i="60"/>
  <c r="I68" i="60"/>
  <c r="I67" i="60"/>
  <c r="I66" i="60"/>
  <c r="I65" i="60"/>
  <c r="I64" i="60"/>
  <c r="I63" i="60"/>
  <c r="I62" i="60"/>
  <c r="I61" i="60"/>
  <c r="I60" i="60"/>
  <c r="I59" i="60"/>
  <c r="I58" i="60"/>
  <c r="I57" i="60"/>
  <c r="I56" i="60"/>
  <c r="I55" i="60"/>
  <c r="I54" i="60"/>
  <c r="I53" i="60"/>
  <c r="I52" i="60"/>
  <c r="I51" i="60"/>
  <c r="I50" i="60"/>
  <c r="I49" i="60"/>
  <c r="I48" i="60"/>
  <c r="I47" i="60"/>
  <c r="I46" i="60"/>
  <c r="I45" i="60"/>
  <c r="I44" i="60"/>
  <c r="I43" i="60"/>
  <c r="I42" i="60"/>
  <c r="I41" i="60"/>
  <c r="I40" i="60"/>
  <c r="I39" i="60"/>
  <c r="I38" i="60"/>
  <c r="I37" i="60"/>
  <c r="I36" i="60"/>
  <c r="I35" i="60"/>
  <c r="I34" i="60"/>
  <c r="I33" i="60"/>
  <c r="I32" i="60"/>
  <c r="I31" i="60"/>
  <c r="I30" i="60"/>
  <c r="I29" i="60"/>
  <c r="I28" i="60"/>
  <c r="I27" i="60"/>
  <c r="I26" i="60"/>
  <c r="I25" i="60"/>
  <c r="I24" i="60"/>
  <c r="I23" i="60"/>
  <c r="I22" i="60"/>
  <c r="I21" i="60"/>
  <c r="I20" i="60"/>
  <c r="I19" i="60"/>
  <c r="I18" i="60"/>
  <c r="I17" i="60"/>
  <c r="I16" i="60"/>
  <c r="I15" i="60"/>
  <c r="I14" i="60"/>
  <c r="I13" i="60"/>
  <c r="I12" i="60"/>
  <c r="I11" i="60"/>
  <c r="I10" i="60"/>
  <c r="I9" i="60"/>
  <c r="H41" i="60"/>
  <c r="H42" i="60"/>
  <c r="H43" i="60"/>
  <c r="H44" i="60"/>
  <c r="H45" i="60"/>
  <c r="H46" i="60"/>
  <c r="H47" i="60"/>
  <c r="H48" i="60"/>
  <c r="H49" i="60"/>
  <c r="H50" i="60"/>
  <c r="H51" i="60"/>
  <c r="H52" i="60"/>
  <c r="H53" i="60"/>
  <c r="H54" i="60"/>
  <c r="H55" i="60"/>
  <c r="H56" i="60"/>
  <c r="H57" i="60"/>
  <c r="H58" i="60"/>
  <c r="H59" i="60"/>
  <c r="H60" i="60"/>
  <c r="H61" i="60"/>
  <c r="H62" i="60"/>
  <c r="H63" i="60"/>
  <c r="H64" i="60"/>
  <c r="H65" i="60"/>
  <c r="H66" i="60"/>
  <c r="H67" i="60"/>
  <c r="H68" i="60"/>
  <c r="H69" i="60"/>
  <c r="H70" i="60"/>
  <c r="H71" i="60"/>
  <c r="H72" i="60"/>
  <c r="H73" i="60"/>
  <c r="H74" i="60"/>
  <c r="H75" i="60"/>
  <c r="H76" i="60"/>
  <c r="H77" i="60"/>
  <c r="H78" i="60"/>
  <c r="H79" i="60"/>
  <c r="H10" i="60"/>
  <c r="H11" i="60"/>
  <c r="H12" i="60"/>
  <c r="H13" i="60"/>
  <c r="H14" i="60"/>
  <c r="H15" i="60"/>
  <c r="H16" i="60"/>
  <c r="H17" i="60"/>
  <c r="H18" i="60"/>
  <c r="H19" i="60"/>
  <c r="H20" i="60"/>
  <c r="H21" i="60"/>
  <c r="H22" i="60"/>
  <c r="H23" i="60"/>
  <c r="H24" i="60"/>
  <c r="H25" i="60"/>
  <c r="H26" i="60"/>
  <c r="H27" i="60"/>
  <c r="H28" i="60"/>
  <c r="H29" i="60"/>
  <c r="H30" i="60"/>
  <c r="H31" i="60"/>
  <c r="H32" i="60"/>
  <c r="H33" i="60"/>
  <c r="H34" i="60"/>
  <c r="H35" i="60"/>
  <c r="H36" i="60"/>
  <c r="H37" i="60"/>
  <c r="H38" i="60"/>
  <c r="H39" i="60"/>
  <c r="H9" i="60"/>
  <c r="H40" i="60"/>
  <c r="G37" i="60"/>
  <c r="G36" i="60"/>
  <c r="G35" i="60"/>
  <c r="G34" i="60"/>
  <c r="G33" i="60"/>
  <c r="G32" i="60"/>
  <c r="G31" i="60"/>
  <c r="G30" i="60"/>
  <c r="G29" i="60"/>
  <c r="G28" i="60"/>
  <c r="G27" i="60"/>
  <c r="G26" i="60"/>
  <c r="G17" i="60"/>
  <c r="Q10" i="51"/>
  <c r="Q11" i="51"/>
  <c r="Q12" i="51"/>
  <c r="Q13" i="51"/>
  <c r="Q14" i="51"/>
  <c r="Q15" i="51"/>
  <c r="Q16" i="51"/>
  <c r="Q17" i="51"/>
  <c r="Q18" i="51"/>
  <c r="Q9" i="51"/>
  <c r="N10" i="51"/>
  <c r="N11" i="51"/>
  <c r="N12" i="51"/>
  <c r="N13" i="51"/>
  <c r="N14" i="51"/>
  <c r="N15" i="51"/>
  <c r="N16" i="51"/>
  <c r="N17" i="51"/>
  <c r="N18" i="51"/>
  <c r="N9" i="51"/>
</calcChain>
</file>

<file path=xl/sharedStrings.xml><?xml version="1.0" encoding="utf-8"?>
<sst xmlns="http://schemas.openxmlformats.org/spreadsheetml/2006/main" count="1610" uniqueCount="462">
  <si>
    <t>E</t>
  </si>
  <si>
    <t>S</t>
  </si>
  <si>
    <t>W</t>
  </si>
  <si>
    <t>N</t>
  </si>
  <si>
    <t xml:space="preserve">Location </t>
    <phoneticPr fontId="5"/>
  </si>
  <si>
    <t>Soil type</t>
    <phoneticPr fontId="5"/>
  </si>
  <si>
    <t>Plot No.</t>
    <phoneticPr fontId="5"/>
  </si>
  <si>
    <t>Layer analyzed</t>
    <phoneticPr fontId="5"/>
  </si>
  <si>
    <t>Repeat analysis</t>
    <phoneticPr fontId="5"/>
  </si>
  <si>
    <t>Water contents
(%)</t>
    <phoneticPr fontId="5"/>
  </si>
  <si>
    <t>pH</t>
    <phoneticPr fontId="5"/>
  </si>
  <si>
    <t>Exchangeable base cations (B)</t>
    <phoneticPr fontId="2" type="noConversion"/>
  </si>
  <si>
    <t>Ex-acidity</t>
  </si>
  <si>
    <t>Ex-acid cations</t>
    <phoneticPr fontId="5"/>
  </si>
  <si>
    <t>ECEC</t>
  </si>
  <si>
    <t>Ca</t>
  </si>
  <si>
    <t>Mg</t>
    <phoneticPr fontId="5"/>
  </si>
  <si>
    <t>K</t>
  </si>
  <si>
    <t>Na</t>
  </si>
  <si>
    <t>(A)</t>
  </si>
  <si>
    <t>Al</t>
  </si>
  <si>
    <t>H</t>
  </si>
  <si>
    <t>(A) + (B)</t>
  </si>
  <si>
    <t>(cm)</t>
  </si>
  <si>
    <r>
      <t>H</t>
    </r>
    <r>
      <rPr>
        <vertAlign val="subscript"/>
        <sz val="12"/>
        <rFont val="Times New Roman"/>
        <family val="1"/>
      </rPr>
      <t>2</t>
    </r>
    <r>
      <rPr>
        <sz val="12"/>
        <rFont val="Times New Roman"/>
        <family val="1"/>
      </rPr>
      <t>O</t>
    </r>
    <phoneticPr fontId="2" type="noConversion"/>
  </si>
  <si>
    <t>KCl</t>
  </si>
  <si>
    <r>
      <t>(cmol</t>
    </r>
    <r>
      <rPr>
        <vertAlign val="subscript"/>
        <sz val="12"/>
        <rFont val="Times New Roman"/>
        <family val="1"/>
      </rPr>
      <t>c</t>
    </r>
    <r>
      <rPr>
        <sz val="12"/>
        <rFont val="Times New Roman"/>
        <family val="1"/>
      </rPr>
      <t xml:space="preserve"> kg</t>
    </r>
    <r>
      <rPr>
        <vertAlign val="superscript"/>
        <sz val="12"/>
        <rFont val="Times New Roman"/>
        <family val="1"/>
      </rPr>
      <t>-1</t>
    </r>
    <r>
      <rPr>
        <sz val="12"/>
        <rFont val="Times New Roman"/>
        <family val="1"/>
      </rPr>
      <t>)</t>
    </r>
    <phoneticPr fontId="2" type="noConversion"/>
  </si>
  <si>
    <t>10-20</t>
    <phoneticPr fontId="5"/>
  </si>
  <si>
    <t>Plot name: Banryu-2, Banryu</t>
    <phoneticPr fontId="5"/>
  </si>
  <si>
    <t>Surveyor: Ryoji Yanai</t>
    <phoneticPr fontId="5"/>
  </si>
  <si>
    <t>Individual No.</t>
    <phoneticPr fontId="5"/>
  </si>
  <si>
    <t>Direction (E, W, S, or N)</t>
    <phoneticPr fontId="5"/>
  </si>
  <si>
    <t>N</t>
    <phoneticPr fontId="5"/>
  </si>
  <si>
    <t>E</t>
    <phoneticPr fontId="5"/>
  </si>
  <si>
    <t>S</t>
    <phoneticPr fontId="5"/>
  </si>
  <si>
    <t>W</t>
    <phoneticPr fontId="5"/>
  </si>
  <si>
    <t>Plant Name</t>
  </si>
  <si>
    <t>Castanopsis cuspidata</t>
  </si>
  <si>
    <t>Machilus Thunbergii</t>
  </si>
  <si>
    <t>Symplocos lucida</t>
  </si>
  <si>
    <t>Quercus serrata</t>
  </si>
  <si>
    <t>Ilex integra</t>
  </si>
  <si>
    <t>Relative height</t>
    <phoneticPr fontId="5"/>
  </si>
  <si>
    <t>＋</t>
  </si>
  <si>
    <t>Tree height (m)</t>
    <phoneticPr fontId="5"/>
  </si>
  <si>
    <t>DBH (cm)</t>
    <phoneticPr fontId="5"/>
  </si>
  <si>
    <t>Vitality of tree</t>
    <phoneticPr fontId="5"/>
  </si>
  <si>
    <t>Form of tree</t>
    <phoneticPr fontId="5"/>
  </si>
  <si>
    <t>Branch growth</t>
    <phoneticPr fontId="5"/>
  </si>
  <si>
    <t>Dieback of stem</t>
    <phoneticPr fontId="5"/>
  </si>
  <si>
    <t>Defoliation of crown</t>
    <phoneticPr fontId="5"/>
  </si>
  <si>
    <t>Deformation of leaves</t>
    <phoneticPr fontId="5"/>
  </si>
  <si>
    <t>Size of leaves</t>
    <phoneticPr fontId="5"/>
  </si>
  <si>
    <t>Discoloration of leaves</t>
    <phoneticPr fontId="5"/>
  </si>
  <si>
    <t>Injury of leaves</t>
    <phoneticPr fontId="5"/>
  </si>
  <si>
    <t>Damage class</t>
    <phoneticPr fontId="5"/>
  </si>
  <si>
    <t>Plot name: Iwamirinku-FP, Banryu</t>
    <phoneticPr fontId="5"/>
  </si>
  <si>
    <t>Individual No.</t>
    <phoneticPr fontId="5"/>
  </si>
  <si>
    <t>Direction</t>
    <phoneticPr fontId="5"/>
  </si>
  <si>
    <t>N</t>
    <phoneticPr fontId="5"/>
  </si>
  <si>
    <t>E</t>
    <phoneticPr fontId="5"/>
  </si>
  <si>
    <t>S</t>
    <phoneticPr fontId="5"/>
  </si>
  <si>
    <t>W</t>
    <phoneticPr fontId="5"/>
  </si>
  <si>
    <t>Ilex micrococca</t>
  </si>
  <si>
    <t xml:space="preserve"> Castanea crenata  </t>
  </si>
  <si>
    <t>－</t>
  </si>
  <si>
    <t>Form of tree</t>
    <phoneticPr fontId="5"/>
  </si>
  <si>
    <t>Branch growth</t>
    <phoneticPr fontId="5"/>
  </si>
  <si>
    <t>Dieback of stem</t>
    <phoneticPr fontId="5"/>
  </si>
  <si>
    <t>Defoliation of crown</t>
    <phoneticPr fontId="5"/>
  </si>
  <si>
    <t>Deformation of leaves</t>
    <phoneticPr fontId="5"/>
  </si>
  <si>
    <t>Size of leaves</t>
    <phoneticPr fontId="5"/>
  </si>
  <si>
    <t>Discoloration of leaves</t>
    <phoneticPr fontId="5"/>
  </si>
  <si>
    <t>Injury of leaves</t>
    <phoneticPr fontId="5"/>
  </si>
  <si>
    <t>Damage class</t>
    <phoneticPr fontId="5"/>
  </si>
  <si>
    <t>Plot name: Ijira, Ijira</t>
    <phoneticPr fontId="5"/>
  </si>
  <si>
    <t>Surveyor: Shinji Tanaka</t>
    <phoneticPr fontId="5"/>
  </si>
  <si>
    <t>Individual No.</t>
    <phoneticPr fontId="5"/>
  </si>
  <si>
    <t>3-2</t>
    <phoneticPr fontId="5"/>
  </si>
  <si>
    <t>5-2</t>
    <phoneticPr fontId="5"/>
  </si>
  <si>
    <t>Direction</t>
    <phoneticPr fontId="5"/>
  </si>
  <si>
    <t>Chamaecyparis obtusa</t>
  </si>
  <si>
    <t>Cryptomeria japonica</t>
  </si>
  <si>
    <t>Plot name: Yamato, Ijira</t>
    <phoneticPr fontId="5"/>
  </si>
  <si>
    <t>Surveyor: Shinji Tanaka</t>
    <phoneticPr fontId="5"/>
  </si>
  <si>
    <t>Individual No.</t>
    <phoneticPr fontId="5"/>
  </si>
  <si>
    <t>11-2</t>
  </si>
  <si>
    <t>12-2</t>
  </si>
  <si>
    <t>13-2</t>
  </si>
  <si>
    <t>14-2</t>
  </si>
  <si>
    <t>Direction</t>
    <phoneticPr fontId="5"/>
  </si>
  <si>
    <t>Date: 26 September 2014</t>
    <phoneticPr fontId="5"/>
  </si>
  <si>
    <t>Styrax japonicus</t>
  </si>
  <si>
    <r>
      <t xml:space="preserve">Estimated cause of decline: 142, by specific disease for Fagaceae tree species (infection of </t>
    </r>
    <r>
      <rPr>
        <i/>
        <u/>
        <sz val="11"/>
        <rFont val="Times New Roman"/>
        <family val="1"/>
      </rPr>
      <t>Raffaelea quercivora</t>
    </r>
    <r>
      <rPr>
        <u/>
        <sz val="11"/>
        <rFont val="Times New Roman"/>
        <family val="1"/>
      </rPr>
      <t xml:space="preserve"> through the beetle, </t>
    </r>
    <r>
      <rPr>
        <i/>
        <u/>
        <sz val="11"/>
        <rFont val="Times New Roman"/>
        <family val="1"/>
      </rPr>
      <t>Platypus quercivorus</t>
    </r>
    <r>
      <rPr>
        <u/>
        <sz val="11"/>
        <rFont val="Times New Roman"/>
        <family val="1"/>
      </rPr>
      <t>)</t>
    </r>
    <phoneticPr fontId="5"/>
  </si>
  <si>
    <t>Estimated cause of decline: No. 16, 17  and 20, bent stem.</t>
    <phoneticPr fontId="5"/>
  </si>
  <si>
    <t>Estimated cause of decline: No.2, 4, 5-2, 8, 10, 11, 12, 13, 14, 15 and 17, bent stem; No. 18, 19 and 20, suppression by other surrounding trees.</t>
    <phoneticPr fontId="5"/>
  </si>
  <si>
    <t>Date: 28 November 2014</t>
    <phoneticPr fontId="5"/>
  </si>
  <si>
    <t>Date: 27 November 2014</t>
    <phoneticPr fontId="5"/>
  </si>
  <si>
    <t>0-10</t>
    <phoneticPr fontId="5"/>
  </si>
  <si>
    <t>Pasoh Forest Reserve</t>
    <phoneticPr fontId="5"/>
  </si>
  <si>
    <t>Total</t>
    <phoneticPr fontId="5"/>
  </si>
  <si>
    <t>C</t>
    <phoneticPr fontId="5"/>
  </si>
  <si>
    <t>N</t>
    <phoneticPr fontId="5"/>
  </si>
  <si>
    <t>%</t>
    <phoneticPr fontId="5"/>
  </si>
  <si>
    <t>Ava-P</t>
    <phoneticPr fontId="5"/>
  </si>
  <si>
    <r>
      <t>mg kg</t>
    </r>
    <r>
      <rPr>
        <vertAlign val="superscript"/>
        <sz val="12"/>
        <rFont val="Times New Roman"/>
        <family val="1"/>
      </rPr>
      <t>-1</t>
    </r>
    <phoneticPr fontId="5"/>
  </si>
  <si>
    <t>Name of analysis laboratory:   Soil Laboratory, Forest Research Institute Malaysia, Kepong, Selangor</t>
    <phoneticPr fontId="5"/>
  </si>
  <si>
    <t xml:space="preserve">1st analysis </t>
    <phoneticPr fontId="5"/>
  </si>
  <si>
    <t>Name of analysis laboratory:  Soil Chemistry Laboratory of Centre for Soil and Agroclimate Research and Development at Bogor</t>
    <phoneticPr fontId="5"/>
  </si>
  <si>
    <r>
      <t>Soil sampling date</t>
    </r>
    <r>
      <rPr>
        <sz val="11"/>
        <rFont val="ＭＳ Ｐ明朝"/>
        <family val="1"/>
        <charset val="128"/>
      </rPr>
      <t>：</t>
    </r>
    <r>
      <rPr>
        <sz val="11"/>
        <rFont val="Times New Roman"/>
        <family val="1"/>
      </rPr>
      <t>June 9, 2014</t>
    </r>
    <phoneticPr fontId="5"/>
  </si>
  <si>
    <t>The Research Forest Station of Forestry Research at Bogor</t>
    <phoneticPr fontId="5"/>
  </si>
  <si>
    <t>Hopea mengarawan</t>
  </si>
  <si>
    <t>Melia excelsa</t>
  </si>
  <si>
    <t>Maesopsis emenii</t>
  </si>
  <si>
    <t>Hopea odorata</t>
  </si>
  <si>
    <t>Khaya grandifolia</t>
  </si>
  <si>
    <t>1 (71)</t>
  </si>
  <si>
    <t>4 (27)</t>
  </si>
  <si>
    <t>5 (279)</t>
  </si>
  <si>
    <t>6 (280)</t>
  </si>
  <si>
    <t>8 (282)</t>
  </si>
  <si>
    <t>12 (269)</t>
  </si>
  <si>
    <t>16 (113)</t>
  </si>
  <si>
    <t>21 (83)</t>
  </si>
  <si>
    <t>23 (146)</t>
  </si>
  <si>
    <t>27 (175)</t>
  </si>
  <si>
    <t>28 (232)</t>
  </si>
  <si>
    <t>31 (264)</t>
  </si>
  <si>
    <t>33 (266)</t>
  </si>
  <si>
    <t>34 (267)</t>
  </si>
  <si>
    <t>39 (275)</t>
  </si>
  <si>
    <t>42 (278)</t>
  </si>
  <si>
    <t>44 (287)</t>
  </si>
  <si>
    <t>46 (289)</t>
  </si>
  <si>
    <t>49 (292)</t>
  </si>
  <si>
    <t>51 (294)</t>
  </si>
  <si>
    <t>Dead</t>
    <phoneticPr fontId="5"/>
  </si>
  <si>
    <t>Plot name: Dramaga Experimental Forest, Bogor</t>
    <phoneticPr fontId="5"/>
  </si>
  <si>
    <t>Estimated cause of decline: pest and very dense, tree no. 1 (71), 12 (269) and 16 (113) was fallen due to hard rain and strong wind</t>
    <phoneticPr fontId="5"/>
  </si>
  <si>
    <t>Orthoxic Tropudults</t>
    <phoneticPr fontId="5"/>
  </si>
  <si>
    <t>Plinthic Kandiaquults</t>
    <phoneticPr fontId="5"/>
  </si>
  <si>
    <t>Typic Dystrudepts</t>
    <phoneticPr fontId="5"/>
  </si>
  <si>
    <r>
      <t>Soil sampling date</t>
    </r>
    <r>
      <rPr>
        <sz val="11"/>
        <rFont val="ＭＳ Ｐ明朝"/>
        <family val="1"/>
        <charset val="128"/>
      </rPr>
      <t>：</t>
    </r>
    <r>
      <rPr>
        <sz val="11"/>
        <rFont val="Times New Roman"/>
        <family val="1"/>
      </rPr>
      <t>2014</t>
    </r>
    <phoneticPr fontId="5"/>
  </si>
  <si>
    <t>-</t>
    <phoneticPr fontId="5"/>
  </si>
  <si>
    <t>Subplot No.*1</t>
    <phoneticPr fontId="5"/>
  </si>
  <si>
    <t>*1: The number of subplot decreased from 5 to 4 by budget cuts.</t>
    <phoneticPr fontId="5"/>
  </si>
  <si>
    <t>Table 5.5.1) Soil chemical analysis: Bogor (Indonesia)</t>
    <phoneticPr fontId="5"/>
  </si>
  <si>
    <t>Table 5.5.2) Soil chemical analysis: Pasoh reserve forest (Malaysia)</t>
    <phoneticPr fontId="5"/>
  </si>
  <si>
    <t>Surveyor: Ryoji Yanai</t>
    <phoneticPr fontId="5"/>
  </si>
  <si>
    <t>Date: 12 May 2014</t>
    <phoneticPr fontId="5"/>
  </si>
  <si>
    <t>Surveyor: I.Wayan, S. Dharmawan, Iskandar, U. Sopian</t>
    <phoneticPr fontId="5"/>
  </si>
  <si>
    <t>Subplot No.</t>
    <phoneticPr fontId="5"/>
  </si>
  <si>
    <t>Surveyor: Lixianyuan</t>
    <phoneticPr fontId="5"/>
  </si>
  <si>
    <t>Date: 27 September 2014</t>
    <phoneticPr fontId="5"/>
  </si>
  <si>
    <t>Symplocos setchuenensis</t>
  </si>
  <si>
    <t>Individual No.</t>
  </si>
  <si>
    <t>Direction (E, W, S, or N)</t>
  </si>
  <si>
    <t xml:space="preserve">Cunninghamia lanceolata </t>
  </si>
  <si>
    <t>Relative height</t>
  </si>
  <si>
    <t>Tree height (m)</t>
  </si>
  <si>
    <t>DBH (cm)</t>
  </si>
  <si>
    <t>Vitality of tree</t>
  </si>
  <si>
    <t>Form of tree</t>
  </si>
  <si>
    <t>Branch growth</t>
  </si>
  <si>
    <t>Dieback of stem</t>
  </si>
  <si>
    <t>Defoliation of crown</t>
  </si>
  <si>
    <t>Deformation of leaves</t>
  </si>
  <si>
    <t>Size of leaves</t>
  </si>
  <si>
    <t>Discoloration of leaves</t>
  </si>
  <si>
    <t>Injury of leaves</t>
  </si>
  <si>
    <t>Damage class*1</t>
  </si>
  <si>
    <r>
      <t>1</t>
    </r>
    <r>
      <rPr>
        <sz val="9"/>
        <rFont val="ＭＳ Ｐ明朝"/>
        <family val="1"/>
        <charset val="128"/>
      </rPr>
      <t>（</t>
    </r>
    <r>
      <rPr>
        <sz val="9"/>
        <rFont val="Times New Roman"/>
        <family val="1"/>
      </rPr>
      <t>3</t>
    </r>
    <r>
      <rPr>
        <sz val="9"/>
        <rFont val="ＭＳ Ｐ明朝"/>
        <family val="1"/>
        <charset val="128"/>
      </rPr>
      <t>）</t>
    </r>
    <phoneticPr fontId="5"/>
  </si>
  <si>
    <r>
      <t>2</t>
    </r>
    <r>
      <rPr>
        <sz val="9"/>
        <rFont val="ＭＳ Ｐ明朝"/>
        <family val="1"/>
        <charset val="128"/>
      </rPr>
      <t>（</t>
    </r>
    <r>
      <rPr>
        <sz val="9"/>
        <rFont val="Times New Roman"/>
        <family val="1"/>
      </rPr>
      <t>2</t>
    </r>
    <r>
      <rPr>
        <sz val="9"/>
        <rFont val="ＭＳ Ｐ明朝"/>
        <family val="1"/>
        <charset val="128"/>
      </rPr>
      <t>）</t>
    </r>
    <phoneticPr fontId="5"/>
  </si>
  <si>
    <r>
      <t>3</t>
    </r>
    <r>
      <rPr>
        <sz val="9"/>
        <rFont val="ＭＳ Ｐ明朝"/>
        <family val="1"/>
        <charset val="128"/>
      </rPr>
      <t>（</t>
    </r>
    <r>
      <rPr>
        <sz val="9"/>
        <rFont val="Times New Roman"/>
        <family val="1"/>
      </rPr>
      <t>58</t>
    </r>
    <r>
      <rPr>
        <sz val="9"/>
        <rFont val="ＭＳ Ｐ明朝"/>
        <family val="1"/>
        <charset val="128"/>
      </rPr>
      <t>）</t>
    </r>
    <phoneticPr fontId="5"/>
  </si>
  <si>
    <r>
      <t>4</t>
    </r>
    <r>
      <rPr>
        <sz val="9"/>
        <rFont val="ＭＳ Ｐ明朝"/>
        <family val="1"/>
        <charset val="128"/>
      </rPr>
      <t>（</t>
    </r>
    <r>
      <rPr>
        <sz val="9"/>
        <rFont val="Times New Roman"/>
        <family val="1"/>
      </rPr>
      <t>101</t>
    </r>
    <r>
      <rPr>
        <sz val="9"/>
        <rFont val="ＭＳ Ｐ明朝"/>
        <family val="1"/>
        <charset val="128"/>
      </rPr>
      <t>）</t>
    </r>
    <phoneticPr fontId="5"/>
  </si>
  <si>
    <r>
      <t>5</t>
    </r>
    <r>
      <rPr>
        <sz val="9"/>
        <rFont val="ＭＳ Ｐ明朝"/>
        <family val="1"/>
        <charset val="128"/>
      </rPr>
      <t>（</t>
    </r>
    <r>
      <rPr>
        <sz val="9"/>
        <rFont val="Times New Roman"/>
        <family val="1"/>
      </rPr>
      <t>105</t>
    </r>
    <r>
      <rPr>
        <sz val="9"/>
        <rFont val="ＭＳ Ｐ明朝"/>
        <family val="1"/>
        <charset val="128"/>
      </rPr>
      <t>）</t>
    </r>
    <phoneticPr fontId="5"/>
  </si>
  <si>
    <r>
      <t>6</t>
    </r>
    <r>
      <rPr>
        <sz val="9"/>
        <rFont val="ＭＳ Ｐ明朝"/>
        <family val="1"/>
        <charset val="128"/>
      </rPr>
      <t>（</t>
    </r>
    <r>
      <rPr>
        <sz val="9"/>
        <rFont val="Times New Roman"/>
        <family val="1"/>
      </rPr>
      <t>70</t>
    </r>
    <r>
      <rPr>
        <sz val="9"/>
        <rFont val="ＭＳ Ｐ明朝"/>
        <family val="1"/>
        <charset val="128"/>
      </rPr>
      <t>）</t>
    </r>
    <phoneticPr fontId="5"/>
  </si>
  <si>
    <r>
      <t>7</t>
    </r>
    <r>
      <rPr>
        <sz val="9"/>
        <rFont val="ＭＳ Ｐ明朝"/>
        <family val="1"/>
        <charset val="128"/>
      </rPr>
      <t>（</t>
    </r>
    <r>
      <rPr>
        <sz val="9"/>
        <rFont val="Times New Roman"/>
        <family val="1"/>
      </rPr>
      <t>102</t>
    </r>
    <r>
      <rPr>
        <sz val="9"/>
        <rFont val="ＭＳ Ｐ明朝"/>
        <family val="1"/>
        <charset val="128"/>
      </rPr>
      <t>）</t>
    </r>
    <phoneticPr fontId="5"/>
  </si>
  <si>
    <r>
      <t>8</t>
    </r>
    <r>
      <rPr>
        <sz val="9"/>
        <rFont val="ＭＳ Ｐ明朝"/>
        <family val="1"/>
        <charset val="128"/>
      </rPr>
      <t>（</t>
    </r>
    <r>
      <rPr>
        <sz val="9"/>
        <rFont val="Times New Roman"/>
        <family val="1"/>
      </rPr>
      <t>72</t>
    </r>
    <r>
      <rPr>
        <sz val="9"/>
        <rFont val="ＭＳ Ｐ明朝"/>
        <family val="1"/>
        <charset val="128"/>
      </rPr>
      <t>）</t>
    </r>
    <phoneticPr fontId="5"/>
  </si>
  <si>
    <r>
      <t>9</t>
    </r>
    <r>
      <rPr>
        <sz val="9"/>
        <rFont val="ＭＳ Ｐ明朝"/>
        <family val="1"/>
        <charset val="128"/>
      </rPr>
      <t>（</t>
    </r>
    <r>
      <rPr>
        <sz val="9"/>
        <rFont val="Times New Roman"/>
        <family val="1"/>
      </rPr>
      <t>103</t>
    </r>
    <r>
      <rPr>
        <sz val="9"/>
        <rFont val="ＭＳ Ｐ明朝"/>
        <family val="1"/>
        <charset val="128"/>
      </rPr>
      <t>）</t>
    </r>
    <phoneticPr fontId="5"/>
  </si>
  <si>
    <r>
      <t>10</t>
    </r>
    <r>
      <rPr>
        <sz val="9"/>
        <rFont val="ＭＳ Ｐ明朝"/>
        <family val="1"/>
        <charset val="128"/>
      </rPr>
      <t>（</t>
    </r>
    <r>
      <rPr>
        <sz val="9"/>
        <rFont val="Times New Roman"/>
        <family val="1"/>
      </rPr>
      <t>104</t>
    </r>
    <r>
      <rPr>
        <sz val="9"/>
        <rFont val="ＭＳ Ｐ明朝"/>
        <family val="1"/>
        <charset val="128"/>
      </rPr>
      <t>）</t>
    </r>
    <phoneticPr fontId="5"/>
  </si>
  <si>
    <t>Estimated cause of decline: None</t>
    <phoneticPr fontId="46"/>
  </si>
  <si>
    <t>Damage class</t>
    <phoneticPr fontId="5"/>
  </si>
  <si>
    <t>Plot name: Jinyunshan 1</t>
    <phoneticPr fontId="5"/>
  </si>
  <si>
    <t>Plot name: Jinyunshan 2</t>
    <phoneticPr fontId="5"/>
  </si>
  <si>
    <t>Date: 25 September 2013</t>
    <phoneticPr fontId="5"/>
  </si>
  <si>
    <t>Adinandra bockiana</t>
  </si>
  <si>
    <t>Symplocos lancifolia</t>
  </si>
  <si>
    <t>Elaeocarpus japonecus</t>
  </si>
  <si>
    <t>Michilus pingii（died）</t>
  </si>
  <si>
    <r>
      <t>10</t>
    </r>
    <r>
      <rPr>
        <sz val="9"/>
        <rFont val="ＭＳ Ｐ明朝"/>
        <family val="1"/>
        <charset val="128"/>
      </rPr>
      <t>（</t>
    </r>
    <r>
      <rPr>
        <sz val="9"/>
        <rFont val="Times New Roman"/>
        <family val="1"/>
      </rPr>
      <t>69</t>
    </r>
    <r>
      <rPr>
        <sz val="9"/>
        <rFont val="ＭＳ Ｐ明朝"/>
        <family val="1"/>
        <charset val="128"/>
      </rPr>
      <t>）</t>
    </r>
    <phoneticPr fontId="5"/>
  </si>
  <si>
    <r>
      <t>9</t>
    </r>
    <r>
      <rPr>
        <sz val="9"/>
        <rFont val="ＭＳ Ｐ明朝"/>
        <family val="1"/>
        <charset val="128"/>
      </rPr>
      <t>（</t>
    </r>
    <r>
      <rPr>
        <sz val="9"/>
        <rFont val="Times New Roman"/>
        <family val="1"/>
      </rPr>
      <t>70</t>
    </r>
    <r>
      <rPr>
        <sz val="9"/>
        <rFont val="ＭＳ Ｐ明朝"/>
        <family val="1"/>
        <charset val="128"/>
      </rPr>
      <t>）</t>
    </r>
    <phoneticPr fontId="5"/>
  </si>
  <si>
    <r>
      <t>8</t>
    </r>
    <r>
      <rPr>
        <sz val="9"/>
        <rFont val="ＭＳ Ｐ明朝"/>
        <family val="1"/>
        <charset val="128"/>
      </rPr>
      <t>（</t>
    </r>
    <r>
      <rPr>
        <sz val="9"/>
        <rFont val="Times New Roman"/>
        <family val="1"/>
      </rPr>
      <t>71</t>
    </r>
    <r>
      <rPr>
        <sz val="9"/>
        <rFont val="ＭＳ Ｐ明朝"/>
        <family val="1"/>
        <charset val="128"/>
      </rPr>
      <t>）</t>
    </r>
    <phoneticPr fontId="5"/>
  </si>
  <si>
    <r>
      <t>6</t>
    </r>
    <r>
      <rPr>
        <sz val="9"/>
        <rFont val="ＭＳ Ｐ明朝"/>
        <family val="1"/>
        <charset val="128"/>
      </rPr>
      <t>（</t>
    </r>
    <r>
      <rPr>
        <sz val="9"/>
        <rFont val="Times New Roman"/>
        <family val="1"/>
      </rPr>
      <t>41</t>
    </r>
    <r>
      <rPr>
        <sz val="9"/>
        <rFont val="ＭＳ Ｐ明朝"/>
        <family val="1"/>
        <charset val="128"/>
      </rPr>
      <t>）</t>
    </r>
    <phoneticPr fontId="5"/>
  </si>
  <si>
    <r>
      <t>4</t>
    </r>
    <r>
      <rPr>
        <sz val="9"/>
        <rFont val="ＭＳ Ｐ明朝"/>
        <family val="1"/>
        <charset val="128"/>
      </rPr>
      <t>（</t>
    </r>
    <r>
      <rPr>
        <sz val="9"/>
        <rFont val="Times New Roman"/>
        <family val="1"/>
      </rPr>
      <t>76</t>
    </r>
    <r>
      <rPr>
        <sz val="9"/>
        <rFont val="ＭＳ Ｐ明朝"/>
        <family val="1"/>
        <charset val="128"/>
      </rPr>
      <t>）</t>
    </r>
    <phoneticPr fontId="5"/>
  </si>
  <si>
    <r>
      <t>3</t>
    </r>
    <r>
      <rPr>
        <sz val="9"/>
        <rFont val="ＭＳ Ｐ明朝"/>
        <family val="1"/>
        <charset val="128"/>
      </rPr>
      <t>（</t>
    </r>
    <r>
      <rPr>
        <sz val="9"/>
        <rFont val="Times New Roman"/>
        <family val="1"/>
      </rPr>
      <t>74</t>
    </r>
    <r>
      <rPr>
        <sz val="9"/>
        <rFont val="ＭＳ Ｐ明朝"/>
        <family val="1"/>
        <charset val="128"/>
      </rPr>
      <t>）</t>
    </r>
    <phoneticPr fontId="5"/>
  </si>
  <si>
    <r>
      <t>2</t>
    </r>
    <r>
      <rPr>
        <sz val="9"/>
        <rFont val="ＭＳ Ｐ明朝"/>
        <family val="1"/>
        <charset val="128"/>
      </rPr>
      <t>（</t>
    </r>
    <r>
      <rPr>
        <sz val="9"/>
        <rFont val="Times New Roman"/>
        <family val="1"/>
      </rPr>
      <t>68</t>
    </r>
    <r>
      <rPr>
        <sz val="9"/>
        <rFont val="ＭＳ Ｐ明朝"/>
        <family val="1"/>
        <charset val="128"/>
      </rPr>
      <t>）</t>
    </r>
    <phoneticPr fontId="5"/>
  </si>
  <si>
    <r>
      <t>1</t>
    </r>
    <r>
      <rPr>
        <sz val="9"/>
        <rFont val="ＭＳ Ｐ明朝"/>
        <family val="1"/>
        <charset val="128"/>
      </rPr>
      <t>（</t>
    </r>
    <r>
      <rPr>
        <sz val="9"/>
        <rFont val="Times New Roman"/>
        <family val="1"/>
      </rPr>
      <t>67</t>
    </r>
    <r>
      <rPr>
        <sz val="9"/>
        <rFont val="ＭＳ Ｐ明朝"/>
        <family val="1"/>
        <charset val="128"/>
      </rPr>
      <t>）</t>
    </r>
    <phoneticPr fontId="5"/>
  </si>
  <si>
    <t>Symplocos setchuenensis</t>
    <phoneticPr fontId="5"/>
  </si>
  <si>
    <t>Adinandra bockiana</t>
    <phoneticPr fontId="5"/>
  </si>
  <si>
    <t>Plot name: XPZ-01</t>
    <phoneticPr fontId="5"/>
  </si>
  <si>
    <t>Date: 11 October 2014</t>
    <phoneticPr fontId="5"/>
  </si>
  <si>
    <t>Surveyor: Zhang Yashuang (xiamen environmental monitoring central station)</t>
    <phoneticPr fontId="5"/>
  </si>
  <si>
    <t>Michelia.Macclurei Dandy</t>
  </si>
  <si>
    <t>Plot name: DaBaGou</t>
    <phoneticPr fontId="5"/>
  </si>
  <si>
    <t>Date: 31 October 2014</t>
    <phoneticPr fontId="5"/>
  </si>
  <si>
    <t>Surveyor: Zhu Jian, Fu GeJuan</t>
    <phoneticPr fontId="5"/>
  </si>
  <si>
    <t>Estimated cause of decline: Trees are too much</t>
    <phoneticPr fontId="46"/>
  </si>
  <si>
    <t>Pinus armandi  Fanch</t>
    <phoneticPr fontId="5"/>
  </si>
  <si>
    <t>Pinus armandi  Fanch</t>
    <phoneticPr fontId="5"/>
  </si>
  <si>
    <t>Date: 30 September 2014</t>
    <phoneticPr fontId="5"/>
  </si>
  <si>
    <t>Surveyor: Zhuang Xueying (College of Forestry, SCAU)</t>
    <phoneticPr fontId="5"/>
  </si>
  <si>
    <t>Pinus elliottii</t>
    <phoneticPr fontId="5"/>
  </si>
  <si>
    <t>Cratoxylum cochinchinense</t>
    <phoneticPr fontId="5"/>
  </si>
  <si>
    <t>Microcos paniculata</t>
  </si>
  <si>
    <t>Microcos paniculata</t>
    <phoneticPr fontId="5"/>
  </si>
  <si>
    <t>Litsea glutinosa</t>
    <phoneticPr fontId="5"/>
  </si>
  <si>
    <r>
      <t xml:space="preserve">Plot name: Zhunhai 1 (Mixed forest of Pinus elliottii and </t>
    </r>
    <r>
      <rPr>
        <i/>
        <sz val="11"/>
        <rFont val="Times New Roman"/>
        <family val="1"/>
      </rPr>
      <t xml:space="preserve">Acacia confusa </t>
    </r>
    <r>
      <rPr>
        <sz val="11"/>
        <rFont val="Times New Roman"/>
        <family val="1"/>
      </rPr>
      <t>in Zhuxian Park)</t>
    </r>
    <phoneticPr fontId="5"/>
  </si>
  <si>
    <t>Acacia confusa</t>
  </si>
  <si>
    <t>Cleistanthus monoicusa</t>
  </si>
  <si>
    <t>Machilus velutina</t>
  </si>
  <si>
    <t>Ilex asprella</t>
  </si>
  <si>
    <t>Syzygium levinei</t>
  </si>
  <si>
    <r>
      <t>Plot name: Zhunhai 2 (</t>
    </r>
    <r>
      <rPr>
        <i/>
        <sz val="11"/>
        <rFont val="Times New Roman"/>
        <family val="1"/>
      </rPr>
      <t>Acacia confusa</t>
    </r>
    <r>
      <rPr>
        <sz val="11"/>
        <rFont val="Times New Roman"/>
        <family val="1"/>
      </rPr>
      <t xml:space="preserve"> forest in Zhuxian Park)</t>
    </r>
    <phoneticPr fontId="5"/>
  </si>
  <si>
    <r>
      <t>Plot name: Zhunhai 3 (</t>
    </r>
    <r>
      <rPr>
        <i/>
        <sz val="11"/>
        <rFont val="Times New Roman"/>
        <family val="1"/>
      </rPr>
      <t>Acacia confusa</t>
    </r>
    <r>
      <rPr>
        <sz val="11"/>
        <rFont val="Times New Roman"/>
        <family val="1"/>
      </rPr>
      <t xml:space="preserve"> forest in Zhuxian Park)</t>
    </r>
    <phoneticPr fontId="5"/>
  </si>
  <si>
    <t>Archidendron lucidum</t>
  </si>
  <si>
    <t>Eurya nitida</t>
  </si>
  <si>
    <t>Litsea rotundifolia var. oblongifolia</t>
  </si>
  <si>
    <t>Triadica cochinchinensis</t>
  </si>
  <si>
    <t>Aporosa dioica</t>
  </si>
  <si>
    <t>Brown soil</t>
    <phoneticPr fontId="5"/>
  </si>
  <si>
    <t>Bogd monuntain</t>
    <phoneticPr fontId="5"/>
  </si>
  <si>
    <t>-</t>
    <phoneticPr fontId="5"/>
  </si>
  <si>
    <t>- *1</t>
    <phoneticPr fontId="5"/>
  </si>
  <si>
    <t>Name of analysis laboratory: Central Laboratory of Environment and Metrology</t>
    <phoneticPr fontId="5"/>
  </si>
  <si>
    <t>Terelj mountain</t>
    <phoneticPr fontId="5"/>
  </si>
  <si>
    <t xml:space="preserve">*1: Exchangeable base cations and exchangeable acid cations were not submitted. Although Cd, Pb, Cr, Zn, Cu, Co, Sr and Hg concentrations were submitted to network center, the concentrations of heavy metals were not included in data report according to EANET technical manual. </t>
    <phoneticPr fontId="5"/>
  </si>
  <si>
    <t>Survey area 1: radius 7.98 m</t>
    <phoneticPr fontId="2" type="noConversion"/>
  </si>
  <si>
    <t>(Height &gt; 1.3 m)</t>
    <phoneticPr fontId="2" type="noConversion"/>
  </si>
  <si>
    <t>Tree No.</t>
    <phoneticPr fontId="5"/>
  </si>
  <si>
    <t>Scientific name (Local name)</t>
    <phoneticPr fontId="2" type="noConversion"/>
  </si>
  <si>
    <t>DBH
(cm)</t>
    <phoneticPr fontId="2" type="noConversion"/>
  </si>
  <si>
    <t>Tree Height
(m)</t>
    <phoneticPr fontId="2" type="noConversion"/>
  </si>
  <si>
    <t>Remarks</t>
    <phoneticPr fontId="2" type="noConversion"/>
  </si>
  <si>
    <t>Survey area 2: radius 11.28 m</t>
    <phoneticPr fontId="2" type="noConversion"/>
  </si>
  <si>
    <t>(DBH &gt; 4 cm)</t>
    <phoneticPr fontId="2" type="noConversion"/>
  </si>
  <si>
    <t>Survey area 3: radius 17.85 m</t>
    <phoneticPr fontId="2" type="noConversion"/>
  </si>
  <si>
    <t>(DBH &gt; 18 cm)</t>
    <phoneticPr fontId="2" type="noConversion"/>
  </si>
  <si>
    <t>Tree No.</t>
    <phoneticPr fontId="5"/>
  </si>
  <si>
    <t>Scientific name (Local name)</t>
    <phoneticPr fontId="2" type="noConversion"/>
  </si>
  <si>
    <t>DBH
(cm)</t>
    <phoneticPr fontId="2" type="noConversion"/>
  </si>
  <si>
    <t>Tree Height
(m)</t>
    <phoneticPr fontId="2" type="noConversion"/>
  </si>
  <si>
    <t>Remarks</t>
    <phoneticPr fontId="2" type="noConversion"/>
  </si>
  <si>
    <t>Mallotus apelta</t>
  </si>
  <si>
    <t> Mallotus paniculatus</t>
  </si>
  <si>
    <t>Ficus variolosa </t>
  </si>
  <si>
    <t xml:space="preserve">Litsea glutinosa </t>
  </si>
  <si>
    <t>Rhaphiolepis indica</t>
  </si>
  <si>
    <t>Glochidion eriocarpum</t>
  </si>
  <si>
    <t>Benkara depauperata</t>
  </si>
  <si>
    <t>Cratoxylum cochinchinense</t>
  </si>
  <si>
    <t xml:space="preserve">Psychotria asiatica </t>
  </si>
  <si>
    <t>Zanthoxylum avicennae</t>
  </si>
  <si>
    <t xml:space="preserve">Pinus elliottii </t>
  </si>
  <si>
    <t>Ficus hirta</t>
  </si>
  <si>
    <t>Schefflera minutistellata </t>
  </si>
  <si>
    <t>Strophanthus divaricatus</t>
  </si>
  <si>
    <t>Toxicodendron succedaneum</t>
  </si>
  <si>
    <t>Phyllanthus emblica</t>
  </si>
  <si>
    <t>Melastoma malabathricum</t>
  </si>
  <si>
    <t> Gardenia jasminoides  </t>
  </si>
  <si>
    <t>Mallotus paniculatus</t>
  </si>
  <si>
    <t>Wendlandia uvariifolia </t>
  </si>
  <si>
    <t>Eurya nitida </t>
  </si>
  <si>
    <t>Pinus elliottii</t>
  </si>
  <si>
    <t>Surveyor: Zhuang Xueying, Zhuang Xueying, Huang Jiuxiang, Xu Ruijing, Zeng Sijin, Wang Pan, Liu Qiang,Liu Xin, Ma Dingwen, Hong Wenjun (College of Forestry, SCAU)</t>
    <phoneticPr fontId="5"/>
  </si>
  <si>
    <t>Elaeagnus pungens</t>
  </si>
  <si>
    <t xml:space="preserve">Atalantia buxifolia </t>
  </si>
  <si>
    <t xml:space="preserve">Archidendron lucidum   </t>
  </si>
  <si>
    <t>Jasminum elongatum</t>
  </si>
  <si>
    <t xml:space="preserve">Machilus velutina    </t>
  </si>
  <si>
    <t xml:space="preserve">Mallotus paniculatus </t>
  </si>
  <si>
    <t>Litsea glutinosa oblongifolia</t>
  </si>
  <si>
    <t xml:space="preserve">Scolopia saeva </t>
  </si>
  <si>
    <t>Bridelia tomentosa</t>
  </si>
  <si>
    <t>Ficus variolosa</t>
  </si>
  <si>
    <t xml:space="preserve">Zanthoxylum avicennae </t>
  </si>
  <si>
    <t xml:space="preserve">Archidendron lucidum </t>
  </si>
  <si>
    <t>Melastoma sanguineum</t>
  </si>
  <si>
    <t>Rhodomyrtus tomentosa</t>
  </si>
  <si>
    <t>Dalbergia hancei</t>
  </si>
  <si>
    <t xml:space="preserve">Syzygium levinei </t>
  </si>
  <si>
    <t>Scientific name (Local name)</t>
    <phoneticPr fontId="2" type="noConversion"/>
  </si>
  <si>
    <t>Abundance</t>
    <phoneticPr fontId="2" type="noConversion"/>
  </si>
  <si>
    <t>+</t>
  </si>
  <si>
    <t>Smilax china</t>
  </si>
  <si>
    <t xml:space="preserve">Melastoma malabathricum </t>
  </si>
  <si>
    <t>Hedyotis auricularia</t>
  </si>
  <si>
    <t xml:space="preserve">Stephania longa   </t>
  </si>
  <si>
    <t xml:space="preserve">Alocasia odora  </t>
  </si>
  <si>
    <t xml:space="preserve">Dendrotrophe varians </t>
  </si>
  <si>
    <t>Piper sarmentosum</t>
  </si>
  <si>
    <t xml:space="preserve">Sterculia lanceolata  </t>
  </si>
  <si>
    <t>Lonicera maackii</t>
  </si>
  <si>
    <t>Atalantia buxifolia</t>
  </si>
  <si>
    <t xml:space="preserve">Zanthoxylum nitidum </t>
  </si>
  <si>
    <t>Wikstroemia indica</t>
  </si>
  <si>
    <t xml:space="preserve">Psychotria serpens </t>
  </si>
  <si>
    <t xml:space="preserve">Clerodendrum canescens  </t>
  </si>
  <si>
    <t xml:space="preserve"> Helicteres angustifolia</t>
  </si>
  <si>
    <t xml:space="preserve">Embelia laeta </t>
  </si>
  <si>
    <t xml:space="preserve">Tetracera sarmentosa </t>
  </si>
  <si>
    <t xml:space="preserve">Damnacanthus indicus </t>
  </si>
  <si>
    <t>Mussaenda pubescens</t>
  </si>
  <si>
    <t>Cinnamomum camphora</t>
  </si>
  <si>
    <t>Uvaria macrophylla</t>
  </si>
  <si>
    <t>Miscanthus sinensis </t>
  </si>
  <si>
    <t xml:space="preserve">Dicranopteris pedata </t>
  </si>
  <si>
    <t xml:space="preserve">Lygodium japonicum     </t>
  </si>
  <si>
    <t>Pteris semipinnata</t>
  </si>
  <si>
    <t>Lophatherum gracile</t>
  </si>
  <si>
    <t xml:space="preserve">Sinobambusa tootsik </t>
  </si>
  <si>
    <t xml:space="preserve"> Adiantum capillus-veneris </t>
  </si>
  <si>
    <t xml:space="preserve"> Blechnum orientale</t>
  </si>
  <si>
    <t xml:space="preserve">Microcos paniculata </t>
  </si>
  <si>
    <t xml:space="preserve">Breynia fruticosa </t>
  </si>
  <si>
    <t>Sterculia lanceolata</t>
  </si>
  <si>
    <t xml:space="preserve">Ardisia crenata </t>
  </si>
  <si>
    <t xml:space="preserve">Cyrtococcum patens </t>
  </si>
  <si>
    <t xml:space="preserve"> Lygodium flexuosum</t>
  </si>
  <si>
    <t>Adiantum flabellulatum</t>
  </si>
  <si>
    <t>Pothos repens</t>
  </si>
  <si>
    <t>＞1000</t>
  </si>
  <si>
    <t xml:space="preserve">Benkara depauperata  </t>
  </si>
  <si>
    <t>Rubus alceifolius</t>
  </si>
  <si>
    <t xml:space="preserve">Embelia ribes  </t>
  </si>
  <si>
    <t xml:space="preserve">Rhodomyrtus tomentosa </t>
  </si>
  <si>
    <t>Dicranopteris pedata</t>
  </si>
  <si>
    <t xml:space="preserve"> Lygodium flexuosum     </t>
  </si>
  <si>
    <t xml:space="preserve"> Blechnum orientale   </t>
  </si>
  <si>
    <t xml:space="preserve">Gnetum parvifolium       </t>
  </si>
  <si>
    <t>+</t>
    <phoneticPr fontId="5"/>
  </si>
  <si>
    <t>Table 5.7.1) Description of trees: Zhunhai (China)</t>
    <phoneticPr fontId="5"/>
  </si>
  <si>
    <t>Table 5.8.1) Understory vegetation survey: Zhunhai (China)</t>
    <phoneticPr fontId="5"/>
  </si>
  <si>
    <t>Number of Species: 51</t>
    <phoneticPr fontId="2" type="noConversion"/>
  </si>
  <si>
    <t>Number of Species: 21</t>
    <phoneticPr fontId="2" type="noConversion"/>
  </si>
  <si>
    <t>Number of Species: 15</t>
    <phoneticPr fontId="2" type="noConversion"/>
  </si>
  <si>
    <r>
      <t>Soil sampling date</t>
    </r>
    <r>
      <rPr>
        <sz val="11"/>
        <color rgb="FFFF0000"/>
        <rFont val="ＭＳ Ｐ明朝"/>
        <family val="1"/>
        <charset val="128"/>
      </rPr>
      <t>：</t>
    </r>
    <r>
      <rPr>
        <sz val="11"/>
        <color rgb="FFFF0000"/>
        <rFont val="Times New Roman"/>
        <family val="1"/>
      </rPr>
      <t>1st July 2013</t>
    </r>
    <phoneticPr fontId="5"/>
  </si>
  <si>
    <r>
      <t>Soil sampling date</t>
    </r>
    <r>
      <rPr>
        <sz val="11"/>
        <color rgb="FFFF0000"/>
        <rFont val="ＭＳ Ｐ明朝"/>
        <family val="1"/>
        <charset val="128"/>
      </rPr>
      <t>：</t>
    </r>
    <r>
      <rPr>
        <sz val="11"/>
        <color rgb="FFFF0000"/>
        <rFont val="Times New Roman"/>
        <family val="1"/>
      </rPr>
      <t>1st July 2013</t>
    </r>
    <phoneticPr fontId="5"/>
  </si>
  <si>
    <t>Table 5.5.3) Soil chemical analysis: Bogd monuntain (Mongolia)</t>
    <phoneticPr fontId="5"/>
  </si>
  <si>
    <t>Table 5.5.4) Soil chemical analysis: Terelj mountain (Mongolia)</t>
    <phoneticPr fontId="5"/>
  </si>
  <si>
    <t>Table 5.6.1) Observation of tree decline: Jinyunshan 1 (China)</t>
    <phoneticPr fontId="5"/>
  </si>
  <si>
    <t>Table 5.6.2) Observation of tree decline: Jinyunshan 2 (China)</t>
    <phoneticPr fontId="5"/>
  </si>
  <si>
    <t>Table 5.6.3) Observation of tree decline: Xiamen (China)</t>
    <phoneticPr fontId="5"/>
  </si>
  <si>
    <t>Table 5.6.4) Observation of tree decline: Xi'an (China)</t>
    <phoneticPr fontId="5"/>
  </si>
  <si>
    <t>Table 5.6.5) Observation of tree decline: Zhunhai (China)</t>
    <phoneticPr fontId="5"/>
  </si>
  <si>
    <t>Table 5.6.6) Observation of tree decline: Zhunhai (China)</t>
    <phoneticPr fontId="5"/>
  </si>
  <si>
    <t>Table 5.6.7) Observation of tree decline: Zhunhai (China)</t>
    <phoneticPr fontId="5"/>
  </si>
  <si>
    <t>Table 5.6.8) Observation of tree decline: Bogor (Indonesia)</t>
    <phoneticPr fontId="5"/>
  </si>
  <si>
    <t>Table 5.6.9) Observation of tree decline: Lake Banryu-1 (Japan)</t>
    <phoneticPr fontId="5"/>
  </si>
  <si>
    <t>Table 5.6.10) Observation of tree decline: Lake Banryu-2 (Japan)</t>
    <phoneticPr fontId="5"/>
  </si>
  <si>
    <t>Table 5.6.11) Observation of tree decline: Lake Ijira (Japan)</t>
    <phoneticPr fontId="5"/>
  </si>
  <si>
    <t>Table 5.6.12) Observation of tree decline: Lake Ijira-2 (Japan)</t>
    <phoneticPr fontId="5"/>
  </si>
  <si>
    <t>Table 5.7.2) Description of trees: Zhunhai (China)</t>
    <phoneticPr fontId="5"/>
  </si>
  <si>
    <t>Table 5.7.3) Description of trees: Zhunhai (China)</t>
    <phoneticPr fontId="5"/>
  </si>
  <si>
    <t>Table 5.8.2) Understory vegetation survey: Zhunhai (China)</t>
    <phoneticPr fontId="5"/>
  </si>
  <si>
    <t>Table 5.8.3) Understory vegetation survey: Zhunhai (China)</t>
    <phoneticPr fontId="5"/>
  </si>
  <si>
    <t>Bogd monuntain</t>
    <phoneticPr fontId="5"/>
  </si>
  <si>
    <t>Terelj mountain</t>
    <phoneticPr fontId="5"/>
  </si>
  <si>
    <t>Network center (NC) is checking the date of survey.</t>
    <phoneticPr fontId="5"/>
  </si>
  <si>
    <t>1.6+1.3+1.2+0.5</t>
  </si>
  <si>
    <t>4+2+1.5+1.5+1.5+1.2+1</t>
  </si>
  <si>
    <t>2+1.1+0.2</t>
  </si>
  <si>
    <t>2.3+2.1</t>
  </si>
  <si>
    <t>2.3+0.3</t>
  </si>
  <si>
    <t>2.5+2.1+0.3</t>
  </si>
  <si>
    <t>2.8+2.2+2.2</t>
  </si>
  <si>
    <t>3+2.5+1.4+1.2</t>
  </si>
  <si>
    <t>3.2+3.1+2+1.8</t>
  </si>
  <si>
    <t>3.7+2.5+2.3+2.3</t>
  </si>
  <si>
    <t>6.2+5.5</t>
  </si>
  <si>
    <t>2.6+0.3</t>
  </si>
  <si>
    <t>9.1+7.7</t>
  </si>
  <si>
    <t>7.1+6+5.8+5.1</t>
  </si>
  <si>
    <t>5.1+4.6+4.5+4.2+3.2+3.1</t>
  </si>
  <si>
    <t>9.1+6.8</t>
  </si>
  <si>
    <t>6.3+5.4</t>
  </si>
  <si>
    <t>4.7+4.4</t>
  </si>
  <si>
    <t>1.2+0.9</t>
  </si>
  <si>
    <t>1.3+0.5</t>
  </si>
  <si>
    <t>1.3+1.3</t>
  </si>
  <si>
    <t>1.9+1.8+1.4+1.3</t>
  </si>
  <si>
    <t>2+1.5</t>
  </si>
  <si>
    <t>2.2+2.1+1.5</t>
  </si>
  <si>
    <t>2.2+1.8+1.6+0.3</t>
  </si>
  <si>
    <t>2.3+1.8</t>
  </si>
  <si>
    <t>2.5+1.5</t>
  </si>
  <si>
    <t>2.5+1.8</t>
  </si>
  <si>
    <t>2.8+0.4</t>
  </si>
  <si>
    <t>2.8+0.5</t>
  </si>
  <si>
    <t>3.2+2.2</t>
  </si>
  <si>
    <t>3.5+2.6+2.6+2.6+2.4+2.2+1.9+1.6</t>
  </si>
  <si>
    <t>3.6+3.2+1.8</t>
  </si>
  <si>
    <t>3.7+3+2.7+2.3+1.1</t>
  </si>
  <si>
    <t>4.2+2.8+2.5</t>
  </si>
  <si>
    <t>4.2+3.1+3+2.8+2.2+2.1+2</t>
  </si>
  <si>
    <t>4.3+3.5+2.4+2</t>
  </si>
  <si>
    <t>4.5+4.4+3.6+3.6+3.5+3.4+3.2+2.3+2.2+1.7</t>
  </si>
  <si>
    <t>2.7+2.6</t>
  </si>
  <si>
    <t>0.4+0.3</t>
  </si>
  <si>
    <t>4.9+2.1</t>
  </si>
  <si>
    <t>0.8+0.6+0.2</t>
  </si>
  <si>
    <t>1.5+0.5</t>
  </si>
  <si>
    <t>2.2+1.9</t>
  </si>
  <si>
    <t>12.5+10.3+4.3</t>
  </si>
  <si>
    <t>4.7+3.6</t>
  </si>
  <si>
    <t>5+4.8+4</t>
  </si>
  <si>
    <t>5.7+5.3+4.1</t>
  </si>
  <si>
    <t>8.6+3.8+3.5</t>
  </si>
  <si>
    <t>5+4.7+4.3+1.3</t>
  </si>
  <si>
    <t>5.5+5.4+4+4.1</t>
  </si>
  <si>
    <t>6+5.4+5.2+5.1</t>
  </si>
  <si>
    <t>8.9+4.3+4.2+3.4+3.3</t>
  </si>
  <si>
    <t>5+4.5</t>
  </si>
  <si>
    <t>7+4.5</t>
  </si>
  <si>
    <t>8.3+5.7+4.8</t>
  </si>
  <si>
    <t>10+8.5+7.2</t>
  </si>
  <si>
    <t>1.7+0.8</t>
  </si>
  <si>
    <t>1.2+1.1</t>
  </si>
  <si>
    <t>1.6+1.3</t>
  </si>
  <si>
    <t>3.6+1</t>
  </si>
  <si>
    <t>3.6+3.1+2.9+2.8+2.6+2.6+2.2</t>
  </si>
  <si>
    <t>2.6+2.2+2.2+2.1+1.8+0.8+0.8+0.6+0.5+0.4</t>
  </si>
  <si>
    <t>3.6+3.2+3.1+2.9+2.7+2.6+2.6+2.6+2.3+2.3+1.9</t>
  </si>
  <si>
    <t>4.5+3.7+3+2.1</t>
  </si>
  <si>
    <t>2.8+2.6+2.6+2.5+2.2+2.1+2+1.9+1.8+1.6+1.5+1.5</t>
  </si>
  <si>
    <t>5.1+1.3</t>
  </si>
  <si>
    <t>4+3.1+2.1</t>
  </si>
  <si>
    <t>3.7+3.2</t>
  </si>
  <si>
    <t>4.5+3+2</t>
  </si>
  <si>
    <t>3.6+3.2+2.1</t>
  </si>
  <si>
    <t>4.7+2.4+2</t>
  </si>
  <si>
    <t>3.8+2.5+2+1.4</t>
  </si>
  <si>
    <t>2.2+2+1.3+1.2</t>
  </si>
  <si>
    <t>3.2+3+1.9+1</t>
  </si>
  <si>
    <t>4+3.1+2.8+2.2</t>
  </si>
  <si>
    <t>3.5+2.6+2.2+2.2+2.2</t>
  </si>
  <si>
    <t>2.9+2.9+2.9+2.9+2.1+1.8+1.4+1+1</t>
  </si>
  <si>
    <t>2.1+1.6+1.5+1.1</t>
  </si>
  <si>
    <t>5+4.4+4</t>
  </si>
  <si>
    <t>5.1+4.8+4.3+4.2+3+2.6+2.4+2.3+1.3</t>
  </si>
  <si>
    <t>5.3+3</t>
  </si>
  <si>
    <t>5.8+5.6+5.5+5+1+0.8</t>
  </si>
  <si>
    <t>6.4+5.2+5.1</t>
  </si>
  <si>
    <t>11.1+7.1</t>
  </si>
  <si>
    <t>12.3+7.2</t>
  </si>
  <si>
    <t>6.3+6.1+5.1</t>
  </si>
  <si>
    <t>10.4+9.7</t>
  </si>
  <si>
    <t>6+4.9</t>
  </si>
  <si>
    <t>4.5+1.6</t>
    <phoneticPr fontId="5"/>
  </si>
  <si>
    <t>Dead</t>
    <phoneticPr fontId="5"/>
  </si>
  <si>
    <t>NC is checking the meaning of these values (abundance should be +, or 1 - 5)</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</si>
</sst>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6" formatCode="&quot;¥&quot;#,##0;[Red]&quot;¥&quot;\-#,##0"/>
    <numFmt numFmtId="176" formatCode="0.0_ "/>
    <numFmt numFmtId="177" formatCode="0.00_ "/>
    <numFmt numFmtId="178" formatCode="0.000_ "/>
    <numFmt numFmtId="179" formatCode="0.0"/>
    <numFmt numFmtId="180" formatCode="#,##0.0;[Red]\-#,##0.0"/>
    <numFmt numFmtId="181" formatCode="0.00_);[Red]\(0.00\)"/>
    <numFmt numFmtId="182" formatCode="0.0_);[Red]\(0.0\)"/>
    <numFmt numFmtId="183" formatCode="0_ "/>
    <numFmt numFmtId="184" formatCode="0_);[Red]\(0\)"/>
  </numFmts>
  <fonts count="51">
    <font>
      <sz val="12"/>
      <name val="宋体"/>
      <charset val="134"/>
    </font>
    <font>
      <sz val="11"/>
      <color indexed="8"/>
      <name val="ＭＳ Ｐゴシック"/>
      <family val="3"/>
      <charset val="128"/>
    </font>
    <font>
      <sz val="9"/>
      <name val="宋体"/>
    </font>
    <font>
      <sz val="12"/>
      <name val="宋体"/>
    </font>
    <font>
      <b/>
      <sz val="11"/>
      <name val="Times New Roman"/>
      <family val="1"/>
    </font>
    <font>
      <sz val="6"/>
      <name val="ＭＳ Ｐゴシック"/>
      <family val="3"/>
      <charset val="128"/>
    </font>
    <font>
      <sz val="11"/>
      <name val="Times New Roman"/>
      <family val="1"/>
    </font>
    <font>
      <i/>
      <sz val="11"/>
      <name val="Times New Roman"/>
      <family val="1"/>
    </font>
    <font>
      <u/>
      <sz val="11"/>
      <name val="Times New Roman"/>
      <family val="1"/>
    </font>
    <font>
      <sz val="11"/>
      <name val="ＭＳ Ｐゴシック"/>
      <family val="3"/>
      <charset val="128"/>
    </font>
    <font>
      <sz val="12"/>
      <name val="宋体"/>
    </font>
    <font>
      <sz val="11"/>
      <color indexed="8"/>
      <name val="Calibri"/>
      <family val="2"/>
    </font>
    <font>
      <sz val="10"/>
      <name val="Arial"/>
      <family val="2"/>
    </font>
    <font>
      <sz val="12"/>
      <name val="宋体"/>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1"/>
    </font>
    <font>
      <b/>
      <sz val="11"/>
      <color indexed="8"/>
      <name val="Calibri"/>
      <family val="2"/>
    </font>
    <font>
      <sz val="11"/>
      <color indexed="10"/>
      <name val="Calibri"/>
      <family val="2"/>
    </font>
    <font>
      <sz val="11"/>
      <name val="ＭＳ Ｐ明朝"/>
      <family val="1"/>
      <charset val="128"/>
    </font>
    <font>
      <sz val="12"/>
      <name val="Times New Roman"/>
      <family val="1"/>
    </font>
    <font>
      <vertAlign val="subscript"/>
      <sz val="12"/>
      <name val="Times New Roman"/>
      <family val="1"/>
    </font>
    <font>
      <vertAlign val="superscript"/>
      <sz val="12"/>
      <name val="Times New Roman"/>
      <family val="1"/>
    </font>
    <font>
      <sz val="14"/>
      <name val="Times New Roman"/>
      <family val="1"/>
    </font>
    <font>
      <sz val="11"/>
      <color theme="1"/>
      <name val="ＭＳ Ｐゴシック"/>
      <family val="3"/>
      <charset val="128"/>
      <scheme val="minor"/>
    </font>
    <font>
      <sz val="9"/>
      <color theme="1"/>
      <name val="ＭＳ ゴシック"/>
      <family val="3"/>
      <charset val="128"/>
    </font>
    <font>
      <sz val="10"/>
      <name val="Arial"/>
      <family val="2"/>
    </font>
    <font>
      <sz val="11"/>
      <name val="ＭＳ 明朝"/>
      <family val="1"/>
      <charset val="128"/>
    </font>
    <font>
      <u/>
      <sz val="11"/>
      <color theme="1"/>
      <name val="Times New Roman"/>
      <family val="1"/>
    </font>
    <font>
      <u/>
      <sz val="12"/>
      <name val="宋体"/>
    </font>
    <font>
      <sz val="11"/>
      <color theme="1"/>
      <name val="Times New Roman"/>
      <family val="1"/>
    </font>
    <font>
      <i/>
      <u/>
      <sz val="11"/>
      <name val="Times New Roman"/>
      <family val="1"/>
    </font>
    <font>
      <sz val="11"/>
      <color rgb="FFFF0000"/>
      <name val="Times New Roman"/>
      <family val="1"/>
    </font>
    <font>
      <sz val="9"/>
      <name val="Times New Roman"/>
      <family val="1"/>
    </font>
    <font>
      <u/>
      <sz val="11"/>
      <color rgb="FFFF0000"/>
      <name val="Times New Roman"/>
      <family val="1"/>
    </font>
    <font>
      <sz val="6"/>
      <name val="ＭＳ Ｐゴシック"/>
      <family val="2"/>
      <charset val="128"/>
    </font>
    <font>
      <sz val="9"/>
      <name val="ＭＳ Ｐ明朝"/>
      <family val="1"/>
      <charset val="128"/>
    </font>
    <font>
      <i/>
      <sz val="12"/>
      <name val="Times New Roman"/>
      <family val="1"/>
    </font>
    <font>
      <sz val="12"/>
      <color rgb="FFFF0000"/>
      <name val="Times New Roman"/>
      <family val="1"/>
    </font>
    <font>
      <sz val="11"/>
      <color rgb="FFFF0000"/>
      <name val="ＭＳ Ｐ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top style="medium">
        <color indexed="64"/>
      </top>
      <bottom/>
      <diagonal/>
    </border>
    <border>
      <left style="thin">
        <color indexed="64"/>
      </left>
      <right style="thin">
        <color indexed="64"/>
      </right>
      <top/>
      <bottom style="double">
        <color indexed="64"/>
      </bottom>
      <diagonal/>
    </border>
  </borders>
  <cellStyleXfs count="76">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9" borderId="0" applyNumberFormat="0" applyBorder="0" applyAlignment="0" applyProtection="0"/>
    <xf numFmtId="0" fontId="15" fillId="3" borderId="0" applyNumberFormat="0" applyBorder="0" applyAlignment="0" applyProtection="0"/>
    <xf numFmtId="0" fontId="16" fillId="20" borderId="1" applyNumberFormat="0" applyAlignment="0" applyProtection="0"/>
    <xf numFmtId="0" fontId="17" fillId="21" borderId="2" applyNumberFormat="0" applyAlignment="0" applyProtection="0"/>
    <xf numFmtId="0" fontId="18" fillId="0" borderId="0" applyNumberFormat="0" applyFill="0" applyBorder="0" applyAlignment="0" applyProtection="0"/>
    <xf numFmtId="0" fontId="19" fillId="4" borderId="0" applyNumberFormat="0" applyBorder="0" applyAlignment="0" applyProtection="0"/>
    <xf numFmtId="0" fontId="20" fillId="0" borderId="3" applyNumberFormat="0" applyFill="0" applyAlignment="0" applyProtection="0"/>
    <xf numFmtId="0" fontId="21" fillId="0" borderId="4" applyNumberFormat="0" applyFill="0" applyAlignment="0" applyProtection="0"/>
    <xf numFmtId="0" fontId="22" fillId="0" borderId="5" applyNumberFormat="0" applyFill="0" applyAlignment="0" applyProtection="0"/>
    <xf numFmtId="0" fontId="22" fillId="0" borderId="0" applyNumberFormat="0" applyFill="0" applyBorder="0" applyAlignment="0" applyProtection="0"/>
    <xf numFmtId="0" fontId="23" fillId="7" borderId="1" applyNumberFormat="0" applyAlignment="0" applyProtection="0"/>
    <xf numFmtId="0" fontId="24" fillId="0" borderId="6" applyNumberFormat="0" applyFill="0" applyAlignment="0" applyProtection="0"/>
    <xf numFmtId="0" fontId="25" fillId="22" borderId="0" applyNumberFormat="0" applyBorder="0" applyAlignment="0" applyProtection="0"/>
    <xf numFmtId="0" fontId="11" fillId="23" borderId="7" applyNumberFormat="0" applyFont="0" applyAlignment="0" applyProtection="0"/>
    <xf numFmtId="0" fontId="26" fillId="20" borderId="8" applyNumberFormat="0" applyAlignment="0" applyProtection="0"/>
    <xf numFmtId="0" fontId="27" fillId="0" borderId="0" applyNumberFormat="0" applyFill="0" applyBorder="0" applyAlignment="0" applyProtection="0"/>
    <xf numFmtId="0" fontId="28" fillId="0" borderId="9" applyNumberFormat="0" applyFill="0" applyAlignment="0" applyProtection="0"/>
    <xf numFmtId="0" fontId="29" fillId="0" borderId="0" applyNumberFormat="0" applyFill="0" applyBorder="0" applyAlignment="0" applyProtection="0"/>
    <xf numFmtId="9" fontId="9" fillId="0" borderId="0" applyFont="0" applyFill="0" applyBorder="0" applyAlignment="0" applyProtection="0"/>
    <xf numFmtId="9" fontId="12" fillId="0" borderId="0" applyFont="0" applyFill="0" applyBorder="0" applyAlignment="0" applyProtection="0"/>
    <xf numFmtId="9" fontId="35" fillId="0" borderId="0" applyFont="0" applyFill="0" applyBorder="0" applyAlignment="0" applyProtection="0">
      <alignment vertical="center"/>
    </xf>
    <xf numFmtId="9" fontId="1" fillId="0" borderId="0" applyFont="0" applyFill="0" applyBorder="0" applyAlignment="0" applyProtection="0">
      <alignment vertical="center"/>
    </xf>
    <xf numFmtId="38" fontId="9" fillId="0" borderId="0" applyFont="0" applyFill="0" applyBorder="0" applyAlignment="0" applyProtection="0"/>
    <xf numFmtId="0" fontId="3" fillId="0" borderId="0">
      <alignment vertical="center"/>
    </xf>
    <xf numFmtId="0" fontId="13" fillId="0" borderId="0">
      <alignment vertical="center"/>
    </xf>
    <xf numFmtId="0" fontId="3" fillId="0" borderId="0">
      <alignment vertical="center"/>
    </xf>
    <xf numFmtId="6" fontId="9" fillId="0" borderId="0" applyFont="0" applyFill="0" applyBorder="0" applyAlignment="0" applyProtection="0"/>
    <xf numFmtId="0" fontId="3" fillId="0" borderId="0">
      <alignment vertical="center"/>
    </xf>
    <xf numFmtId="0" fontId="3" fillId="0" borderId="0">
      <alignment vertical="center"/>
    </xf>
    <xf numFmtId="0" fontId="3" fillId="0" borderId="0"/>
    <xf numFmtId="0" fontId="3" fillId="0" borderId="0">
      <alignment vertical="center"/>
    </xf>
    <xf numFmtId="0" fontId="3" fillId="0" borderId="0">
      <alignment vertical="center"/>
    </xf>
    <xf numFmtId="0" fontId="3" fillId="0" borderId="0">
      <alignment vertical="center"/>
    </xf>
    <xf numFmtId="0" fontId="10" fillId="0" borderId="0">
      <alignment vertical="center"/>
    </xf>
    <xf numFmtId="0" fontId="9" fillId="0" borderId="0"/>
    <xf numFmtId="0" fontId="3" fillId="0" borderId="0">
      <alignment vertical="center"/>
    </xf>
    <xf numFmtId="0" fontId="9" fillId="0" borderId="0"/>
    <xf numFmtId="0" fontId="36" fillId="0" borderId="0">
      <alignment vertical="center"/>
    </xf>
    <xf numFmtId="0" fontId="9" fillId="0" borderId="0"/>
    <xf numFmtId="0" fontId="11" fillId="0" borderId="0"/>
    <xf numFmtId="0" fontId="9" fillId="0" borderId="0"/>
    <xf numFmtId="0" fontId="10" fillId="0" borderId="0">
      <alignment vertical="center"/>
    </xf>
    <xf numFmtId="0" fontId="12" fillId="0" borderId="0"/>
    <xf numFmtId="0" fontId="9" fillId="0" borderId="0"/>
    <xf numFmtId="0" fontId="3" fillId="0" borderId="0">
      <alignment vertical="center"/>
    </xf>
    <xf numFmtId="0" fontId="35" fillId="0" borderId="0"/>
    <xf numFmtId="0" fontId="9" fillId="0" borderId="0"/>
    <xf numFmtId="0" fontId="12" fillId="0" borderId="0"/>
    <xf numFmtId="0" fontId="37" fillId="0" borderId="0"/>
    <xf numFmtId="0" fontId="11" fillId="0" borderId="0"/>
    <xf numFmtId="0" fontId="9" fillId="0" borderId="0">
      <alignment vertical="center"/>
    </xf>
    <xf numFmtId="0" fontId="3" fillId="0" borderId="0">
      <alignment vertical="center"/>
    </xf>
  </cellStyleXfs>
  <cellXfs count="253">
    <xf numFmtId="0" fontId="0" fillId="0" borderId="0" xfId="0"/>
    <xf numFmtId="0" fontId="6" fillId="0" borderId="0" xfId="49" applyFont="1" applyAlignment="1">
      <alignment vertical="center"/>
    </xf>
    <xf numFmtId="0" fontId="6" fillId="0" borderId="0" xfId="70" applyFont="1" applyBorder="1" applyAlignment="1">
      <alignment horizontal="left" vertical="center"/>
    </xf>
    <xf numFmtId="0" fontId="6" fillId="0" borderId="0" xfId="70" applyFont="1" applyAlignment="1">
      <alignment horizontal="center" vertical="center"/>
    </xf>
    <xf numFmtId="0" fontId="6" fillId="0" borderId="0" xfId="70" applyFont="1" applyBorder="1" applyAlignment="1">
      <alignment vertical="center"/>
    </xf>
    <xf numFmtId="0" fontId="6" fillId="0" borderId="0" xfId="70" applyFont="1" applyBorder="1" applyAlignment="1">
      <alignment horizontal="center" vertical="center"/>
    </xf>
    <xf numFmtId="0" fontId="31" fillId="0" borderId="23" xfId="66" applyFont="1" applyBorder="1" applyAlignment="1">
      <alignment horizontal="center"/>
    </xf>
    <xf numFmtId="0" fontId="31" fillId="0" borderId="25" xfId="66" applyFont="1" applyBorder="1" applyAlignment="1">
      <alignment horizontal="center"/>
    </xf>
    <xf numFmtId="0" fontId="31" fillId="0" borderId="26" xfId="66" applyFont="1" applyBorder="1" applyAlignment="1">
      <alignment horizontal="center"/>
    </xf>
    <xf numFmtId="0" fontId="31" fillId="0" borderId="27" xfId="66" applyFont="1" applyBorder="1" applyAlignment="1">
      <alignment horizontal="center"/>
    </xf>
    <xf numFmtId="0" fontId="31" fillId="0" borderId="28" xfId="66" applyFont="1" applyBorder="1" applyAlignment="1">
      <alignment horizontal="center"/>
    </xf>
    <xf numFmtId="182" fontId="6" fillId="0" borderId="0" xfId="70" applyNumberFormat="1" applyFont="1" applyBorder="1" applyAlignment="1">
      <alignment horizontal="center" vertical="center"/>
    </xf>
    <xf numFmtId="181" fontId="6" fillId="0" borderId="0" xfId="70" applyNumberFormat="1" applyFont="1" applyBorder="1" applyAlignment="1">
      <alignment horizontal="center" vertical="center"/>
    </xf>
    <xf numFmtId="0" fontId="4" fillId="0" borderId="0" xfId="66" applyFont="1"/>
    <xf numFmtId="0" fontId="4" fillId="0" borderId="0" xfId="70" applyFont="1" applyBorder="1" applyAlignment="1">
      <alignment horizontal="left" vertical="center"/>
    </xf>
    <xf numFmtId="0" fontId="6" fillId="0" borderId="0" xfId="70" applyFont="1" applyFill="1" applyBorder="1" applyAlignment="1">
      <alignment horizontal="center" vertical="center"/>
    </xf>
    <xf numFmtId="0" fontId="34" fillId="0" borderId="31" xfId="66" applyFont="1" applyFill="1" applyBorder="1" applyAlignment="1">
      <alignment vertical="center" textRotation="180" wrapText="1"/>
    </xf>
    <xf numFmtId="0" fontId="6" fillId="0" borderId="31" xfId="70" applyFont="1" applyFill="1" applyBorder="1" applyAlignment="1">
      <alignment vertical="center" wrapText="1"/>
    </xf>
    <xf numFmtId="0" fontId="34" fillId="0" borderId="0" xfId="66" applyFont="1" applyFill="1" applyBorder="1" applyAlignment="1">
      <alignment vertical="center" textRotation="180" wrapText="1"/>
    </xf>
    <xf numFmtId="0" fontId="6" fillId="0" borderId="0" xfId="70" applyFont="1" applyFill="1" applyBorder="1" applyAlignment="1">
      <alignment vertical="center" wrapText="1"/>
    </xf>
    <xf numFmtId="2" fontId="6" fillId="0" borderId="0" xfId="70" applyNumberFormat="1" applyFont="1" applyBorder="1" applyAlignment="1">
      <alignment horizontal="center" vertical="center"/>
    </xf>
    <xf numFmtId="180" fontId="6" fillId="0" borderId="10" xfId="70" applyNumberFormat="1" applyFont="1" applyBorder="1" applyAlignment="1">
      <alignment horizontal="center" vertical="center"/>
    </xf>
    <xf numFmtId="2" fontId="6" fillId="0" borderId="10" xfId="70" applyNumberFormat="1" applyFont="1" applyBorder="1" applyAlignment="1">
      <alignment horizontal="center" vertical="center"/>
    </xf>
    <xf numFmtId="0" fontId="31" fillId="0" borderId="0" xfId="66" applyFont="1" applyBorder="1" applyAlignment="1">
      <alignment horizontal="center"/>
    </xf>
    <xf numFmtId="179" fontId="6" fillId="0" borderId="10" xfId="70" applyNumberFormat="1" applyFont="1" applyBorder="1" applyAlignment="1">
      <alignment horizontal="center" vertical="center"/>
    </xf>
    <xf numFmtId="0" fontId="6" fillId="0" borderId="0" xfId="70" applyFont="1" applyBorder="1" applyAlignment="1">
      <alignment horizontal="center" vertical="top"/>
    </xf>
    <xf numFmtId="40" fontId="6" fillId="0" borderId="10" xfId="70" applyNumberFormat="1" applyFont="1" applyBorder="1" applyAlignment="1">
      <alignment horizontal="center" vertical="center"/>
    </xf>
    <xf numFmtId="0" fontId="6" fillId="0" borderId="10" xfId="70" applyFont="1" applyFill="1" applyBorder="1" applyAlignment="1">
      <alignment horizontal="center" vertical="center"/>
    </xf>
    <xf numFmtId="0" fontId="6" fillId="0" borderId="31" xfId="70" applyFont="1" applyFill="1" applyBorder="1" applyAlignment="1">
      <alignment horizontal="center" vertical="center"/>
    </xf>
    <xf numFmtId="0" fontId="31" fillId="0" borderId="24" xfId="66" applyFont="1" applyBorder="1" applyAlignment="1">
      <alignment horizontal="center"/>
    </xf>
    <xf numFmtId="0" fontId="6" fillId="0" borderId="10" xfId="70" applyFont="1" applyBorder="1" applyAlignment="1">
      <alignment horizontal="center" vertical="center"/>
    </xf>
    <xf numFmtId="0" fontId="31" fillId="0" borderId="10" xfId="66" applyFont="1" applyBorder="1" applyAlignment="1">
      <alignment horizontal="center"/>
    </xf>
    <xf numFmtId="0" fontId="31" fillId="0" borderId="24" xfId="66" applyFont="1" applyBorder="1" applyAlignment="1">
      <alignment horizontal="center"/>
    </xf>
    <xf numFmtId="0" fontId="4" fillId="0" borderId="0" xfId="56" applyFont="1" applyAlignment="1">
      <alignment vertical="center"/>
    </xf>
    <xf numFmtId="0" fontId="6" fillId="0" borderId="0" xfId="74" applyFont="1" applyAlignment="1">
      <alignment vertical="center"/>
    </xf>
    <xf numFmtId="0" fontId="6" fillId="0" borderId="0" xfId="74" applyFont="1" applyBorder="1" applyAlignment="1">
      <alignment vertical="center"/>
    </xf>
    <xf numFmtId="0" fontId="6" fillId="0" borderId="0" xfId="74" applyFont="1">
      <alignment vertical="center"/>
    </xf>
    <xf numFmtId="0" fontId="6" fillId="0" borderId="0" xfId="56" applyFont="1" applyAlignment="1">
      <alignment vertical="center"/>
    </xf>
    <xf numFmtId="0" fontId="6" fillId="0" borderId="36" xfId="56" applyFont="1" applyBorder="1" applyAlignment="1">
      <alignment vertical="center"/>
    </xf>
    <xf numFmtId="0" fontId="6" fillId="0" borderId="21" xfId="56" applyFont="1" applyBorder="1" applyAlignment="1">
      <alignment horizontal="center" vertical="center"/>
    </xf>
    <xf numFmtId="0" fontId="6" fillId="0" borderId="21" xfId="56" applyFont="1" applyFill="1" applyBorder="1" applyAlignment="1">
      <alignment horizontal="center" vertical="center"/>
    </xf>
    <xf numFmtId="0" fontId="6" fillId="0" borderId="22" xfId="56" applyFont="1" applyBorder="1" applyAlignment="1">
      <alignment horizontal="center" vertical="center"/>
    </xf>
    <xf numFmtId="0" fontId="6" fillId="25" borderId="14" xfId="56" applyFont="1" applyFill="1" applyBorder="1" applyAlignment="1">
      <alignment vertical="center"/>
    </xf>
    <xf numFmtId="0" fontId="6" fillId="0" borderId="10" xfId="56" applyFont="1" applyBorder="1" applyAlignment="1">
      <alignment horizontal="center" vertical="center"/>
    </xf>
    <xf numFmtId="0" fontId="6" fillId="0" borderId="10" xfId="56" applyFont="1" applyFill="1" applyBorder="1" applyAlignment="1">
      <alignment horizontal="center" vertical="center"/>
    </xf>
    <xf numFmtId="0" fontId="6" fillId="0" borderId="11" xfId="56" applyFont="1" applyBorder="1" applyAlignment="1">
      <alignment horizontal="center" vertical="center"/>
    </xf>
    <xf numFmtId="0" fontId="6" fillId="0" borderId="0" xfId="60" applyFont="1" applyAlignment="1">
      <alignment vertical="center"/>
    </xf>
    <xf numFmtId="0" fontId="6" fillId="0" borderId="15" xfId="56" applyFont="1" applyBorder="1" applyAlignment="1">
      <alignment vertical="center" wrapText="1"/>
    </xf>
    <xf numFmtId="0" fontId="7" fillId="0" borderId="10" xfId="56" applyFont="1" applyBorder="1" applyAlignment="1">
      <alignment horizontal="center" vertical="top" textRotation="180" wrapText="1"/>
    </xf>
    <xf numFmtId="0" fontId="7" fillId="0" borderId="11" xfId="56" applyFont="1" applyBorder="1" applyAlignment="1">
      <alignment horizontal="center" vertical="top" textRotation="180" wrapText="1"/>
    </xf>
    <xf numFmtId="0" fontId="6" fillId="0" borderId="15" xfId="74" applyFont="1" applyBorder="1" applyAlignment="1">
      <alignment vertical="center"/>
    </xf>
    <xf numFmtId="0" fontId="6" fillId="0" borderId="0" xfId="56" applyFont="1" applyBorder="1" applyAlignment="1">
      <alignment vertical="center"/>
    </xf>
    <xf numFmtId="176" fontId="6" fillId="0" borderId="10" xfId="56" applyNumberFormat="1" applyFont="1" applyFill="1" applyBorder="1" applyAlignment="1">
      <alignment vertical="center"/>
    </xf>
    <xf numFmtId="176" fontId="6" fillId="0" borderId="11" xfId="56" applyNumberFormat="1" applyFont="1" applyFill="1" applyBorder="1" applyAlignment="1">
      <alignment vertical="center"/>
    </xf>
    <xf numFmtId="0" fontId="6" fillId="0" borderId="15" xfId="56" applyFont="1" applyBorder="1" applyAlignment="1">
      <alignment vertical="center"/>
    </xf>
    <xf numFmtId="0" fontId="38" fillId="0" borderId="0" xfId="60" applyFont="1" applyAlignment="1">
      <alignment vertical="center"/>
    </xf>
    <xf numFmtId="0" fontId="6" fillId="25" borderId="16" xfId="56" applyFont="1" applyFill="1" applyBorder="1" applyAlignment="1">
      <alignment vertical="center"/>
    </xf>
    <xf numFmtId="0" fontId="6" fillId="25" borderId="15" xfId="56" applyFont="1" applyFill="1" applyBorder="1" applyAlignment="1">
      <alignment vertical="center"/>
    </xf>
    <xf numFmtId="0" fontId="6" fillId="25" borderId="17" xfId="56" applyFont="1" applyFill="1" applyBorder="1" applyAlignment="1">
      <alignment vertical="center"/>
    </xf>
    <xf numFmtId="0" fontId="6" fillId="0" borderId="12" xfId="56" applyFont="1" applyBorder="1" applyAlignment="1">
      <alignment horizontal="center" vertical="center"/>
    </xf>
    <xf numFmtId="0" fontId="6" fillId="0" borderId="13" xfId="56" applyFont="1" applyBorder="1" applyAlignment="1">
      <alignment horizontal="center" vertical="center"/>
    </xf>
    <xf numFmtId="0" fontId="6" fillId="25" borderId="18" xfId="56" applyFont="1" applyFill="1" applyBorder="1" applyAlignment="1">
      <alignment vertical="center"/>
    </xf>
    <xf numFmtId="0" fontId="6" fillId="0" borderId="19" xfId="56" applyFont="1" applyBorder="1" applyAlignment="1">
      <alignment horizontal="center" vertical="center"/>
    </xf>
    <xf numFmtId="0" fontId="6" fillId="0" borderId="20" xfId="56" applyFont="1" applyBorder="1" applyAlignment="1">
      <alignment horizontal="center" vertical="center"/>
    </xf>
    <xf numFmtId="0" fontId="8" fillId="0" borderId="0" xfId="56" applyFont="1" applyAlignment="1">
      <alignment vertical="top" wrapText="1"/>
    </xf>
    <xf numFmtId="0" fontId="41" fillId="0" borderId="0" xfId="53" applyFont="1" applyAlignment="1">
      <alignment vertical="top"/>
    </xf>
    <xf numFmtId="0" fontId="6" fillId="0" borderId="37" xfId="56" applyFont="1" applyBorder="1" applyAlignment="1">
      <alignment horizontal="center" vertical="center"/>
    </xf>
    <xf numFmtId="0" fontId="6" fillId="0" borderId="16" xfId="74" applyFont="1" applyBorder="1">
      <alignment vertical="center"/>
    </xf>
    <xf numFmtId="0" fontId="6" fillId="0" borderId="32" xfId="56" applyFont="1" applyBorder="1" applyAlignment="1">
      <alignment horizontal="center" vertical="center"/>
    </xf>
    <xf numFmtId="0" fontId="38" fillId="0" borderId="16" xfId="60" applyFont="1" applyBorder="1" applyAlignment="1">
      <alignment vertical="center"/>
    </xf>
    <xf numFmtId="0" fontId="7" fillId="0" borderId="32" xfId="56" applyFont="1" applyBorder="1" applyAlignment="1">
      <alignment horizontal="center" vertical="top" textRotation="180" wrapText="1"/>
    </xf>
    <xf numFmtId="176" fontId="6" fillId="0" borderId="32" xfId="56" applyNumberFormat="1" applyFont="1" applyFill="1" applyBorder="1" applyAlignment="1">
      <alignment vertical="center"/>
    </xf>
    <xf numFmtId="0" fontId="6" fillId="0" borderId="10" xfId="53" applyFont="1" applyFill="1" applyBorder="1" applyAlignment="1">
      <alignment horizontal="center" vertical="center"/>
    </xf>
    <xf numFmtId="0" fontId="6" fillId="0" borderId="32" xfId="53" applyFont="1" applyFill="1" applyBorder="1" applyAlignment="1">
      <alignment horizontal="center" vertical="center"/>
    </xf>
    <xf numFmtId="0" fontId="6" fillId="0" borderId="32" xfId="56" applyFont="1" applyFill="1" applyBorder="1" applyAlignment="1">
      <alignment horizontal="center" vertical="center"/>
    </xf>
    <xf numFmtId="0" fontId="38" fillId="0" borderId="0" xfId="60" applyFont="1" applyBorder="1" applyAlignment="1">
      <alignment vertical="center"/>
    </xf>
    <xf numFmtId="0" fontId="6" fillId="0" borderId="12" xfId="56" applyFont="1" applyFill="1" applyBorder="1" applyAlignment="1">
      <alignment horizontal="center" vertical="center"/>
    </xf>
    <xf numFmtId="0" fontId="6" fillId="0" borderId="38" xfId="56" applyFont="1" applyFill="1" applyBorder="1" applyAlignment="1">
      <alignment horizontal="center" vertical="center"/>
    </xf>
    <xf numFmtId="0" fontId="6" fillId="0" borderId="19" xfId="53" applyFont="1" applyFill="1" applyBorder="1" applyAlignment="1">
      <alignment horizontal="center" vertical="center"/>
    </xf>
    <xf numFmtId="0" fontId="6" fillId="0" borderId="39" xfId="53" applyFont="1" applyFill="1" applyBorder="1" applyAlignment="1">
      <alignment horizontal="center" vertical="center"/>
    </xf>
    <xf numFmtId="0" fontId="6" fillId="0" borderId="0" xfId="74" applyFont="1" applyBorder="1">
      <alignment vertical="center"/>
    </xf>
    <xf numFmtId="0" fontId="6" fillId="0" borderId="0" xfId="60" applyFont="1" applyBorder="1"/>
    <xf numFmtId="0" fontId="6" fillId="0" borderId="21" xfId="56" quotePrefix="1" applyFont="1" applyBorder="1" applyAlignment="1">
      <alignment horizontal="center" vertical="center"/>
    </xf>
    <xf numFmtId="0" fontId="6" fillId="0" borderId="0" xfId="60" applyFont="1" applyFill="1" applyBorder="1"/>
    <xf numFmtId="0" fontId="6" fillId="0" borderId="16" xfId="56" applyFont="1" applyFill="1" applyBorder="1" applyAlignment="1">
      <alignment vertical="center"/>
    </xf>
    <xf numFmtId="0" fontId="6" fillId="0" borderId="11" xfId="53" applyFont="1" applyFill="1" applyBorder="1" applyAlignment="1">
      <alignment horizontal="center" vertical="center"/>
    </xf>
    <xf numFmtId="0" fontId="6" fillId="0" borderId="15" xfId="56" applyFont="1" applyFill="1" applyBorder="1" applyAlignment="1">
      <alignment vertical="center"/>
    </xf>
    <xf numFmtId="0" fontId="6" fillId="0" borderId="11" xfId="56" applyFont="1" applyFill="1" applyBorder="1" applyAlignment="1">
      <alignment horizontal="center" vertical="center"/>
    </xf>
    <xf numFmtId="0" fontId="6" fillId="0" borderId="17" xfId="56" applyFont="1" applyFill="1" applyBorder="1" applyAlignment="1">
      <alignment vertical="center"/>
    </xf>
    <xf numFmtId="0" fontId="6" fillId="0" borderId="13" xfId="56" applyFont="1" applyFill="1" applyBorder="1" applyAlignment="1">
      <alignment horizontal="center" vertical="center"/>
    </xf>
    <xf numFmtId="0" fontId="6" fillId="0" borderId="18" xfId="56" applyFont="1" applyFill="1" applyBorder="1" applyAlignment="1">
      <alignment vertical="center"/>
    </xf>
    <xf numFmtId="0" fontId="6" fillId="0" borderId="20" xfId="53" applyFont="1" applyFill="1" applyBorder="1" applyAlignment="1">
      <alignment horizontal="center" vertical="center"/>
    </xf>
    <xf numFmtId="0" fontId="8" fillId="0" borderId="0" xfId="56" applyFont="1" applyFill="1" applyBorder="1" applyAlignment="1">
      <alignment vertical="top" wrapText="1"/>
    </xf>
    <xf numFmtId="0" fontId="6" fillId="24" borderId="10" xfId="56" applyFont="1" applyFill="1" applyBorder="1" applyAlignment="1">
      <alignment horizontal="center" vertical="center"/>
    </xf>
    <xf numFmtId="0" fontId="6" fillId="24" borderId="11" xfId="56" applyFont="1" applyFill="1" applyBorder="1" applyAlignment="1">
      <alignment horizontal="center" vertical="center"/>
    </xf>
    <xf numFmtId="179" fontId="6" fillId="0" borderId="0" xfId="70" applyNumberFormat="1" applyFont="1" applyBorder="1" applyAlignment="1">
      <alignment horizontal="center" vertical="center"/>
    </xf>
    <xf numFmtId="1" fontId="6" fillId="0" borderId="0" xfId="70" applyNumberFormat="1" applyFont="1" applyBorder="1" applyAlignment="1">
      <alignment horizontal="center" vertical="center"/>
    </xf>
    <xf numFmtId="176" fontId="6" fillId="0" borderId="0" xfId="70" applyNumberFormat="1" applyFont="1" applyBorder="1" applyAlignment="1">
      <alignment horizontal="center" vertical="center"/>
    </xf>
    <xf numFmtId="178" fontId="6" fillId="0" borderId="0" xfId="70" applyNumberFormat="1" applyFont="1" applyBorder="1" applyAlignment="1">
      <alignment horizontal="center" vertical="center"/>
    </xf>
    <xf numFmtId="177" fontId="6" fillId="0" borderId="0" xfId="70" applyNumberFormat="1" applyFont="1" applyBorder="1" applyAlignment="1">
      <alignment horizontal="center" vertical="center"/>
    </xf>
    <xf numFmtId="0" fontId="6" fillId="0" borderId="0" xfId="70" applyFont="1" applyFill="1" applyBorder="1" applyAlignment="1">
      <alignment horizontal="left" vertical="center"/>
    </xf>
    <xf numFmtId="0" fontId="0" fillId="0" borderId="0" xfId="0" applyBorder="1"/>
    <xf numFmtId="0" fontId="31" fillId="0" borderId="0" xfId="66" applyFont="1" applyBorder="1" applyAlignment="1">
      <alignment vertical="center" wrapText="1"/>
    </xf>
    <xf numFmtId="0" fontId="31" fillId="0" borderId="0" xfId="66" applyFont="1" applyFill="1" applyBorder="1" applyAlignment="1">
      <alignment vertical="center" wrapText="1"/>
    </xf>
    <xf numFmtId="0" fontId="6" fillId="0" borderId="0" xfId="70" applyFont="1" applyBorder="1" applyAlignment="1">
      <alignment vertical="center" wrapText="1"/>
    </xf>
    <xf numFmtId="0" fontId="31" fillId="0" borderId="0" xfId="66" applyFont="1" applyBorder="1" applyAlignment="1">
      <alignment vertical="center"/>
    </xf>
    <xf numFmtId="0" fontId="31" fillId="0" borderId="0" xfId="66" applyFont="1" applyBorder="1" applyAlignment="1"/>
    <xf numFmtId="14" fontId="6" fillId="0" borderId="0" xfId="70" quotePrefix="1" applyNumberFormat="1" applyFont="1" applyBorder="1" applyAlignment="1">
      <alignment vertical="center"/>
    </xf>
    <xf numFmtId="0" fontId="31" fillId="0" borderId="23" xfId="66" applyFont="1" applyFill="1" applyBorder="1" applyAlignment="1">
      <alignment horizontal="center"/>
    </xf>
    <xf numFmtId="0" fontId="31" fillId="0" borderId="28" xfId="66" applyFont="1" applyFill="1" applyBorder="1" applyAlignment="1">
      <alignment horizontal="center"/>
    </xf>
    <xf numFmtId="0" fontId="31" fillId="0" borderId="10" xfId="0" applyFont="1" applyBorder="1"/>
    <xf numFmtId="0" fontId="31" fillId="0" borderId="10" xfId="0" applyFont="1" applyBorder="1" applyAlignment="1">
      <alignment horizontal="center"/>
    </xf>
    <xf numFmtId="0" fontId="31" fillId="0" borderId="34" xfId="66" applyFont="1" applyFill="1" applyBorder="1" applyAlignment="1">
      <alignment horizontal="center"/>
    </xf>
    <xf numFmtId="0" fontId="31" fillId="0" borderId="25" xfId="66" applyFont="1" applyFill="1" applyBorder="1" applyAlignment="1">
      <alignment horizontal="center"/>
    </xf>
    <xf numFmtId="0" fontId="31" fillId="0" borderId="32" xfId="0" applyFont="1" applyBorder="1" applyAlignment="1">
      <alignment horizontal="center"/>
    </xf>
    <xf numFmtId="0" fontId="0" fillId="0" borderId="29" xfId="0" applyBorder="1"/>
    <xf numFmtId="0" fontId="4" fillId="25" borderId="0" xfId="56" applyFont="1" applyFill="1" applyAlignment="1">
      <alignment vertical="center"/>
    </xf>
    <xf numFmtId="0" fontId="6" fillId="25" borderId="0" xfId="56" applyFont="1" applyFill="1" applyBorder="1" applyAlignment="1">
      <alignment vertical="center"/>
    </xf>
    <xf numFmtId="0" fontId="6" fillId="25" borderId="0" xfId="49" applyFont="1" applyFill="1" applyAlignment="1">
      <alignment vertical="center"/>
    </xf>
    <xf numFmtId="0" fontId="6" fillId="25" borderId="0" xfId="56" applyFont="1" applyFill="1" applyAlignment="1">
      <alignment vertical="center"/>
    </xf>
    <xf numFmtId="0" fontId="6" fillId="25" borderId="36" xfId="56" applyFont="1" applyFill="1" applyBorder="1" applyAlignment="1">
      <alignment vertical="center"/>
    </xf>
    <xf numFmtId="0" fontId="44" fillId="25" borderId="21" xfId="56" applyFont="1" applyFill="1" applyBorder="1" applyAlignment="1">
      <alignment horizontal="center" vertical="center"/>
    </xf>
    <xf numFmtId="0" fontId="44" fillId="25" borderId="21" xfId="56" quotePrefix="1" applyFont="1" applyFill="1" applyBorder="1" applyAlignment="1">
      <alignment horizontal="center" vertical="center"/>
    </xf>
    <xf numFmtId="0" fontId="44" fillId="25" borderId="22" xfId="56" applyFont="1" applyFill="1" applyBorder="1" applyAlignment="1">
      <alignment horizontal="center" vertical="center"/>
    </xf>
    <xf numFmtId="0" fontId="6" fillId="25" borderId="10" xfId="56" applyFont="1" applyFill="1" applyBorder="1" applyAlignment="1">
      <alignment horizontal="center" vertical="center"/>
    </xf>
    <xf numFmtId="0" fontId="6" fillId="25" borderId="11" xfId="56" applyFont="1" applyFill="1" applyBorder="1" applyAlignment="1">
      <alignment horizontal="center" vertical="center"/>
    </xf>
    <xf numFmtId="0" fontId="6" fillId="25" borderId="15" xfId="56" applyFont="1" applyFill="1" applyBorder="1" applyAlignment="1">
      <alignment vertical="center" wrapText="1"/>
    </xf>
    <xf numFmtId="0" fontId="7" fillId="25" borderId="10" xfId="56" applyFont="1" applyFill="1" applyBorder="1" applyAlignment="1">
      <alignment horizontal="center" vertical="top" textRotation="180" wrapText="1"/>
    </xf>
    <xf numFmtId="0" fontId="7" fillId="25" borderId="11" xfId="56" applyFont="1" applyFill="1" applyBorder="1" applyAlignment="1">
      <alignment horizontal="center" vertical="top" textRotation="180" wrapText="1"/>
    </xf>
    <xf numFmtId="0" fontId="6" fillId="25" borderId="15" xfId="74" applyFont="1" applyFill="1" applyBorder="1" applyAlignment="1">
      <alignment vertical="center"/>
    </xf>
    <xf numFmtId="176" fontId="6" fillId="25" borderId="10" xfId="56" applyNumberFormat="1" applyFont="1" applyFill="1" applyBorder="1" applyAlignment="1">
      <alignment vertical="center"/>
    </xf>
    <xf numFmtId="176" fontId="6" fillId="25" borderId="11" xfId="56" applyNumberFormat="1" applyFont="1" applyFill="1" applyBorder="1" applyAlignment="1">
      <alignment vertical="center"/>
    </xf>
    <xf numFmtId="0" fontId="6" fillId="25" borderId="10" xfId="53" applyFont="1" applyFill="1" applyBorder="1" applyAlignment="1">
      <alignment horizontal="center" vertical="center"/>
    </xf>
    <xf numFmtId="0" fontId="6" fillId="25" borderId="11" xfId="53" applyFont="1" applyFill="1" applyBorder="1" applyAlignment="1">
      <alignment horizontal="center" vertical="center"/>
    </xf>
    <xf numFmtId="0" fontId="6" fillId="25" borderId="12" xfId="56" applyFont="1" applyFill="1" applyBorder="1" applyAlignment="1">
      <alignment horizontal="center" vertical="center"/>
    </xf>
    <xf numFmtId="0" fontId="6" fillId="25" borderId="13" xfId="56" applyFont="1" applyFill="1" applyBorder="1" applyAlignment="1">
      <alignment horizontal="center" vertical="center"/>
    </xf>
    <xf numFmtId="0" fontId="6" fillId="25" borderId="19" xfId="53" applyFont="1" applyFill="1" applyBorder="1" applyAlignment="1">
      <alignment horizontal="center" vertical="center"/>
    </xf>
    <xf numFmtId="0" fontId="6" fillId="25" borderId="20" xfId="53" applyFont="1" applyFill="1" applyBorder="1" applyAlignment="1">
      <alignment horizontal="center" vertical="center"/>
    </xf>
    <xf numFmtId="0" fontId="45" fillId="25" borderId="40" xfId="56" applyFont="1" applyFill="1" applyBorder="1" applyAlignment="1">
      <alignment vertical="top"/>
    </xf>
    <xf numFmtId="0" fontId="45" fillId="25" borderId="0" xfId="56" applyFont="1" applyFill="1" applyBorder="1" applyAlignment="1">
      <alignment vertical="top"/>
    </xf>
    <xf numFmtId="0" fontId="8" fillId="25" borderId="0" xfId="56" applyFont="1" applyFill="1" applyBorder="1" applyAlignment="1">
      <alignment vertical="top"/>
    </xf>
    <xf numFmtId="0" fontId="31" fillId="0" borderId="24" xfId="66" applyFont="1" applyBorder="1" applyAlignment="1">
      <alignment horizontal="center"/>
    </xf>
    <xf numFmtId="0" fontId="44" fillId="0" borderId="21" xfId="56" applyFont="1" applyBorder="1" applyAlignment="1">
      <alignment horizontal="center" vertical="center"/>
    </xf>
    <xf numFmtId="0" fontId="44" fillId="0" borderId="21" xfId="56" quotePrefix="1" applyFont="1" applyBorder="1" applyAlignment="1">
      <alignment horizontal="center" vertical="center"/>
    </xf>
    <xf numFmtId="0" fontId="44" fillId="0" borderId="21" xfId="56" applyFont="1" applyFill="1" applyBorder="1" applyAlignment="1">
      <alignment horizontal="center" vertical="center"/>
    </xf>
    <xf numFmtId="0" fontId="44" fillId="0" borderId="37" xfId="56" applyFont="1" applyBorder="1" applyAlignment="1">
      <alignment horizontal="center" vertical="center"/>
    </xf>
    <xf numFmtId="0" fontId="0" fillId="0" borderId="16" xfId="0" applyBorder="1"/>
    <xf numFmtId="0" fontId="8" fillId="0" borderId="0" xfId="0" applyFont="1" applyFill="1" applyBorder="1" applyAlignment="1">
      <alignment vertical="center"/>
    </xf>
    <xf numFmtId="0" fontId="43" fillId="0" borderId="0" xfId="56" applyFont="1" applyAlignment="1">
      <alignment vertical="center"/>
    </xf>
    <xf numFmtId="0" fontId="44" fillId="0" borderId="37" xfId="56" applyFont="1" applyFill="1" applyBorder="1" applyAlignment="1">
      <alignment horizontal="center" vertical="center"/>
    </xf>
    <xf numFmtId="0" fontId="43" fillId="0" borderId="19" xfId="53" applyFont="1" applyFill="1" applyBorder="1" applyAlignment="1">
      <alignment horizontal="center" vertical="center"/>
    </xf>
    <xf numFmtId="0" fontId="43" fillId="0" borderId="39" xfId="53" applyFont="1" applyFill="1" applyBorder="1" applyAlignment="1">
      <alignment horizontal="center" vertical="center"/>
    </xf>
    <xf numFmtId="0" fontId="8" fillId="0" borderId="0" xfId="56" applyFont="1" applyAlignment="1">
      <alignment vertical="top" wrapText="1"/>
    </xf>
    <xf numFmtId="0" fontId="39" fillId="0" borderId="0" xfId="53" applyFont="1" applyAlignment="1">
      <alignment vertical="top"/>
    </xf>
    <xf numFmtId="0" fontId="40" fillId="0" borderId="0" xfId="53" applyFont="1" applyAlignment="1"/>
    <xf numFmtId="0" fontId="3" fillId="0" borderId="0" xfId="53" applyAlignment="1">
      <alignment vertical="center"/>
    </xf>
    <xf numFmtId="0" fontId="3" fillId="0" borderId="0" xfId="75">
      <alignment vertical="center"/>
    </xf>
    <xf numFmtId="0" fontId="6" fillId="0" borderId="0" xfId="75" applyFont="1" applyAlignment="1">
      <alignment vertical="center"/>
    </xf>
    <xf numFmtId="0" fontId="6" fillId="0" borderId="0" xfId="75" applyFont="1">
      <alignment vertical="center"/>
    </xf>
    <xf numFmtId="0" fontId="4" fillId="0" borderId="0" xfId="75" applyFont="1" applyAlignment="1">
      <alignment vertical="center"/>
    </xf>
    <xf numFmtId="0" fontId="4" fillId="0" borderId="26" xfId="75" applyFont="1" applyBorder="1" applyAlignment="1">
      <alignment vertical="center"/>
    </xf>
    <xf numFmtId="0" fontId="3" fillId="0" borderId="26" xfId="53" applyBorder="1" applyAlignment="1">
      <alignment vertical="center"/>
    </xf>
    <xf numFmtId="0" fontId="6" fillId="0" borderId="10" xfId="75" applyFont="1" applyBorder="1" applyAlignment="1">
      <alignment horizontal="center" vertical="center"/>
    </xf>
    <xf numFmtId="0" fontId="6" fillId="0" borderId="10" xfId="75" applyFont="1" applyBorder="1" applyAlignment="1">
      <alignment horizontal="center" vertical="center" wrapText="1"/>
    </xf>
    <xf numFmtId="183" fontId="6" fillId="0" borderId="31" xfId="75" applyNumberFormat="1" applyFont="1" applyBorder="1" applyAlignment="1">
      <alignment horizontal="left" vertical="center"/>
    </xf>
    <xf numFmtId="0" fontId="7" fillId="0" borderId="31" xfId="75" applyFont="1" applyBorder="1" applyAlignment="1">
      <alignment vertical="center"/>
    </xf>
    <xf numFmtId="176" fontId="6" fillId="0" borderId="31" xfId="75" applyNumberFormat="1" applyFont="1" applyBorder="1">
      <alignment vertical="center"/>
    </xf>
    <xf numFmtId="0" fontId="6" fillId="0" borderId="31" xfId="75" applyFont="1" applyBorder="1">
      <alignment vertical="center"/>
    </xf>
    <xf numFmtId="183" fontId="6" fillId="0" borderId="0" xfId="75" applyNumberFormat="1" applyFont="1" applyBorder="1" applyAlignment="1">
      <alignment horizontal="left" vertical="center"/>
    </xf>
    <xf numFmtId="0" fontId="7" fillId="0" borderId="0" xfId="75" applyFont="1" applyBorder="1" applyAlignment="1">
      <alignment vertical="center"/>
    </xf>
    <xf numFmtId="176" fontId="6" fillId="0" borderId="0" xfId="75" applyNumberFormat="1" applyFont="1" applyBorder="1">
      <alignment vertical="center"/>
    </xf>
    <xf numFmtId="0" fontId="6" fillId="0" borderId="0" xfId="75" applyFont="1" applyBorder="1">
      <alignment vertical="center"/>
    </xf>
    <xf numFmtId="0" fontId="3" fillId="0" borderId="0" xfId="53" applyAlignment="1">
      <alignment vertical="center"/>
    </xf>
    <xf numFmtId="0" fontId="31" fillId="0" borderId="10" xfId="71" applyFont="1" applyBorder="1" applyAlignment="1">
      <alignment horizontal="center"/>
    </xf>
    <xf numFmtId="0" fontId="31" fillId="0" borderId="10" xfId="71" applyFont="1" applyBorder="1"/>
    <xf numFmtId="0" fontId="6" fillId="0" borderId="10" xfId="75" applyFont="1" applyBorder="1">
      <alignment vertical="center"/>
    </xf>
    <xf numFmtId="179" fontId="31" fillId="0" borderId="10" xfId="71" applyNumberFormat="1" applyFont="1" applyBorder="1" applyAlignment="1">
      <alignment horizontal="center"/>
    </xf>
    <xf numFmtId="0" fontId="6" fillId="0" borderId="0" xfId="75" applyFont="1" applyBorder="1" applyAlignment="1">
      <alignment vertical="center"/>
    </xf>
    <xf numFmtId="0" fontId="6" fillId="0" borderId="31" xfId="75" applyFont="1" applyBorder="1" applyAlignment="1">
      <alignment horizontal="left" vertical="center"/>
    </xf>
    <xf numFmtId="0" fontId="3" fillId="0" borderId="0" xfId="75" applyBorder="1">
      <alignment vertical="center"/>
    </xf>
    <xf numFmtId="0" fontId="6" fillId="0" borderId="0" xfId="75" applyFont="1" applyBorder="1" applyAlignment="1">
      <alignment horizontal="left" vertical="center"/>
    </xf>
    <xf numFmtId="176" fontId="6" fillId="0" borderId="0" xfId="75" applyNumberFormat="1" applyFont="1" applyFill="1" applyBorder="1">
      <alignment vertical="center"/>
    </xf>
    <xf numFmtId="0" fontId="6" fillId="0" borderId="0" xfId="75" applyFont="1" applyFill="1" applyBorder="1">
      <alignment vertical="center"/>
    </xf>
    <xf numFmtId="0" fontId="48" fillId="0" borderId="10" xfId="75" applyFont="1" applyBorder="1" applyAlignment="1">
      <alignment vertical="center"/>
    </xf>
    <xf numFmtId="183" fontId="6" fillId="0" borderId="0" xfId="75" applyNumberFormat="1" applyFont="1" applyBorder="1" applyAlignment="1">
      <alignment horizontal="center" vertical="center"/>
    </xf>
    <xf numFmtId="0" fontId="3" fillId="0" borderId="0" xfId="53" applyFont="1" applyAlignment="1">
      <alignment vertical="center"/>
    </xf>
    <xf numFmtId="0" fontId="43" fillId="0" borderId="10" xfId="75" applyFont="1" applyBorder="1" applyAlignment="1">
      <alignment horizontal="center" vertical="center" wrapText="1"/>
    </xf>
    <xf numFmtId="183" fontId="49" fillId="0" borderId="10" xfId="75" applyNumberFormat="1" applyFont="1" applyBorder="1" applyAlignment="1">
      <alignment horizontal="center" vertical="center"/>
    </xf>
    <xf numFmtId="0" fontId="43" fillId="0" borderId="0" xfId="70" applyFont="1" applyBorder="1" applyAlignment="1">
      <alignment vertical="center"/>
    </xf>
    <xf numFmtId="0" fontId="43" fillId="0" borderId="0" xfId="70" applyFont="1" applyBorder="1" applyAlignment="1">
      <alignment horizontal="left" vertical="center"/>
    </xf>
    <xf numFmtId="0" fontId="43" fillId="0" borderId="0" xfId="75" applyFont="1" applyAlignment="1">
      <alignment vertical="center"/>
    </xf>
    <xf numFmtId="184" fontId="3" fillId="0" borderId="0" xfId="75" applyNumberFormat="1">
      <alignment vertical="center"/>
    </xf>
    <xf numFmtId="0" fontId="3" fillId="0" borderId="0" xfId="75" applyAlignment="1">
      <alignment horizontal="left" vertical="center"/>
    </xf>
    <xf numFmtId="0" fontId="31" fillId="0" borderId="10" xfId="71" applyFont="1" applyBorder="1" applyAlignment="1">
      <alignment horizontal="left"/>
    </xf>
    <xf numFmtId="0" fontId="3" fillId="0" borderId="0" xfId="75" applyBorder="1" applyAlignment="1">
      <alignment horizontal="left" vertical="center"/>
    </xf>
    <xf numFmtId="40" fontId="6" fillId="0" borderId="23" xfId="70" quotePrefix="1" applyNumberFormat="1" applyFont="1" applyBorder="1" applyAlignment="1">
      <alignment horizontal="center" vertical="center"/>
    </xf>
    <xf numFmtId="40" fontId="6" fillId="0" borderId="30" xfId="70" quotePrefix="1" applyNumberFormat="1" applyFont="1" applyBorder="1" applyAlignment="1">
      <alignment horizontal="center" vertical="center"/>
    </xf>
    <xf numFmtId="40" fontId="6" fillId="0" borderId="28" xfId="70" quotePrefix="1" applyNumberFormat="1" applyFont="1" applyBorder="1" applyAlignment="1">
      <alignment horizontal="center" vertical="center"/>
    </xf>
    <xf numFmtId="0" fontId="31" fillId="0" borderId="23" xfId="66" applyFont="1" applyBorder="1" applyAlignment="1">
      <alignment horizontal="center" vertical="center" wrapText="1"/>
    </xf>
    <xf numFmtId="0" fontId="31" fillId="0" borderId="30" xfId="66" applyFont="1" applyBorder="1" applyAlignment="1">
      <alignment horizontal="center" vertical="center" wrapText="1"/>
    </xf>
    <xf numFmtId="0" fontId="31" fillId="0" borderId="28" xfId="66" applyFont="1" applyBorder="1" applyAlignment="1">
      <alignment horizontal="center" vertical="center" wrapText="1"/>
    </xf>
    <xf numFmtId="0" fontId="6" fillId="0" borderId="23" xfId="70" applyFont="1" applyBorder="1" applyAlignment="1">
      <alignment horizontal="center" vertical="center" wrapText="1"/>
    </xf>
    <xf numFmtId="0" fontId="6" fillId="0" borderId="30" xfId="70" applyFont="1" applyBorder="1" applyAlignment="1">
      <alignment horizontal="center" vertical="center" wrapText="1"/>
    </xf>
    <xf numFmtId="0" fontId="31" fillId="0" borderId="34" xfId="66" applyFont="1" applyBorder="1" applyAlignment="1">
      <alignment horizontal="center" vertical="center"/>
    </xf>
    <xf numFmtId="0" fontId="31" fillId="0" borderId="31" xfId="66" applyFont="1" applyBorder="1" applyAlignment="1">
      <alignment horizontal="center" vertical="center"/>
    </xf>
    <xf numFmtId="0" fontId="31" fillId="0" borderId="24" xfId="66" applyFont="1" applyBorder="1" applyAlignment="1">
      <alignment horizontal="center" vertical="center"/>
    </xf>
    <xf numFmtId="0" fontId="6" fillId="0" borderId="23" xfId="66" applyFont="1" applyFill="1" applyBorder="1" applyAlignment="1">
      <alignment horizontal="center" vertical="center" textRotation="180" wrapText="1"/>
    </xf>
    <xf numFmtId="0" fontId="6" fillId="0" borderId="30" xfId="66" applyFont="1" applyFill="1" applyBorder="1" applyAlignment="1">
      <alignment horizontal="center" vertical="center" textRotation="180" wrapText="1"/>
    </xf>
    <xf numFmtId="0" fontId="6" fillId="0" borderId="28" xfId="66" applyFont="1" applyFill="1" applyBorder="1" applyAlignment="1">
      <alignment horizontal="center" vertical="center" textRotation="180" wrapText="1"/>
    </xf>
    <xf numFmtId="0" fontId="34" fillId="0" borderId="23" xfId="66" applyFont="1" applyFill="1" applyBorder="1" applyAlignment="1">
      <alignment horizontal="center" vertical="center" textRotation="180" wrapText="1"/>
    </xf>
    <xf numFmtId="0" fontId="34" fillId="0" borderId="30" xfId="66" applyFont="1" applyFill="1" applyBorder="1" applyAlignment="1">
      <alignment horizontal="center" vertical="center" textRotation="180" wrapText="1"/>
    </xf>
    <xf numFmtId="0" fontId="34" fillId="0" borderId="28" xfId="66" applyFont="1" applyFill="1" applyBorder="1" applyAlignment="1">
      <alignment horizontal="center" vertical="center" textRotation="180" wrapText="1"/>
    </xf>
    <xf numFmtId="0" fontId="6" fillId="0" borderId="23" xfId="70" applyFont="1" applyFill="1" applyBorder="1" applyAlignment="1">
      <alignment horizontal="center" vertical="center" wrapText="1"/>
    </xf>
    <xf numFmtId="0" fontId="6" fillId="0" borderId="30" xfId="70" applyFont="1" applyFill="1" applyBorder="1" applyAlignment="1">
      <alignment horizontal="center" vertical="center" wrapText="1"/>
    </xf>
    <xf numFmtId="0" fontId="6" fillId="0" borderId="28" xfId="70" applyFont="1" applyFill="1" applyBorder="1" applyAlignment="1">
      <alignment horizontal="center" vertical="center" wrapText="1"/>
    </xf>
    <xf numFmtId="0" fontId="31" fillId="0" borderId="23" xfId="66" applyFont="1" applyFill="1" applyBorder="1" applyAlignment="1">
      <alignment horizontal="center" vertical="center" wrapText="1"/>
    </xf>
    <xf numFmtId="0" fontId="31" fillId="0" borderId="30" xfId="66" applyFont="1" applyFill="1" applyBorder="1" applyAlignment="1">
      <alignment horizontal="center" vertical="center" wrapText="1"/>
    </xf>
    <xf numFmtId="0" fontId="31" fillId="0" borderId="28" xfId="66" applyFont="1" applyFill="1" applyBorder="1" applyAlignment="1">
      <alignment horizontal="center" vertical="center" wrapText="1"/>
    </xf>
    <xf numFmtId="0" fontId="31" fillId="0" borderId="32" xfId="66" applyFont="1" applyBorder="1" applyAlignment="1">
      <alignment horizontal="center"/>
    </xf>
    <xf numFmtId="0" fontId="31" fillId="0" borderId="35" xfId="66" applyFont="1" applyBorder="1" applyAlignment="1">
      <alignment horizontal="center"/>
    </xf>
    <xf numFmtId="0" fontId="6" fillId="0" borderId="23" xfId="70" applyFont="1" applyBorder="1" applyAlignment="1">
      <alignment horizontal="center" vertical="center"/>
    </xf>
    <xf numFmtId="0" fontId="6" fillId="0" borderId="30" xfId="70" applyFont="1" applyBorder="1" applyAlignment="1">
      <alignment horizontal="center" vertical="center"/>
    </xf>
    <xf numFmtId="0" fontId="6" fillId="0" borderId="28" xfId="70" applyFont="1" applyBorder="1" applyAlignment="1">
      <alignment horizontal="center" vertical="center"/>
    </xf>
    <xf numFmtId="14" fontId="6" fillId="0" borderId="23" xfId="70" quotePrefix="1" applyNumberFormat="1" applyFont="1" applyBorder="1" applyAlignment="1">
      <alignment horizontal="center" vertical="center"/>
    </xf>
    <xf numFmtId="14" fontId="6" fillId="0" borderId="30" xfId="70" quotePrefix="1" applyNumberFormat="1" applyFont="1" applyBorder="1" applyAlignment="1">
      <alignment horizontal="center" vertical="center"/>
    </xf>
    <xf numFmtId="14" fontId="6" fillId="0" borderId="28" xfId="70" quotePrefix="1" applyNumberFormat="1" applyFont="1" applyBorder="1" applyAlignment="1">
      <alignment horizontal="center" vertical="center"/>
    </xf>
    <xf numFmtId="0" fontId="43" fillId="0" borderId="23" xfId="70" applyFont="1" applyBorder="1" applyAlignment="1">
      <alignment horizontal="center" vertical="center" wrapText="1"/>
    </xf>
    <xf numFmtId="0" fontId="43" fillId="0" borderId="30" xfId="70" applyFont="1" applyBorder="1" applyAlignment="1">
      <alignment horizontal="center" vertical="center" wrapText="1"/>
    </xf>
    <xf numFmtId="0" fontId="43" fillId="0" borderId="28" xfId="70" applyFont="1" applyBorder="1" applyAlignment="1">
      <alignment horizontal="center" vertical="center" wrapText="1"/>
    </xf>
    <xf numFmtId="0" fontId="31" fillId="0" borderId="25" xfId="66" applyFont="1" applyBorder="1" applyAlignment="1">
      <alignment horizontal="center" vertical="center"/>
    </xf>
    <xf numFmtId="0" fontId="31" fillId="0" borderId="27" xfId="66" applyFont="1" applyBorder="1" applyAlignment="1">
      <alignment horizontal="center" vertical="center"/>
    </xf>
    <xf numFmtId="0" fontId="31" fillId="0" borderId="34" xfId="66" applyFont="1" applyBorder="1" applyAlignment="1">
      <alignment horizontal="center"/>
    </xf>
    <xf numFmtId="0" fontId="31" fillId="0" borderId="24" xfId="66" applyFont="1" applyBorder="1" applyAlignment="1">
      <alignment horizontal="center"/>
    </xf>
    <xf numFmtId="0" fontId="31" fillId="0" borderId="33" xfId="66" applyFont="1" applyBorder="1" applyAlignment="1">
      <alignment horizontal="center"/>
    </xf>
    <xf numFmtId="180" fontId="6" fillId="0" borderId="23" xfId="70" quotePrefix="1" applyNumberFormat="1" applyFont="1" applyBorder="1" applyAlignment="1">
      <alignment horizontal="center" vertical="center"/>
    </xf>
    <xf numFmtId="180" fontId="6" fillId="0" borderId="30" xfId="70" applyNumberFormat="1" applyFont="1" applyBorder="1" applyAlignment="1">
      <alignment horizontal="center" vertical="center"/>
    </xf>
    <xf numFmtId="180" fontId="6" fillId="0" borderId="28" xfId="70" applyNumberFormat="1" applyFont="1" applyBorder="1" applyAlignment="1">
      <alignment horizontal="center" vertical="center"/>
    </xf>
    <xf numFmtId="0" fontId="6" fillId="0" borderId="31" xfId="70" applyFont="1" applyBorder="1" applyAlignment="1">
      <alignment horizontal="left" vertical="center" wrapText="1"/>
    </xf>
    <xf numFmtId="0" fontId="6" fillId="0" borderId="0" xfId="70" applyFont="1" applyBorder="1" applyAlignment="1">
      <alignment horizontal="left" vertical="center" wrapText="1"/>
    </xf>
    <xf numFmtId="0" fontId="6" fillId="25" borderId="23" xfId="56" applyFont="1" applyFill="1" applyBorder="1" applyAlignment="1">
      <alignment horizontal="center" vertical="center"/>
    </xf>
    <xf numFmtId="0" fontId="6" fillId="25" borderId="30" xfId="56" applyFont="1" applyFill="1" applyBorder="1" applyAlignment="1">
      <alignment horizontal="center" vertical="center"/>
    </xf>
    <xf numFmtId="0" fontId="6" fillId="25" borderId="41" xfId="56" applyFont="1" applyFill="1" applyBorder="1" applyAlignment="1">
      <alignment horizontal="center" vertical="center"/>
    </xf>
    <xf numFmtId="0" fontId="8" fillId="25" borderId="0" xfId="56" applyFont="1" applyFill="1" applyBorder="1" applyAlignment="1">
      <alignment vertical="top" wrapText="1"/>
    </xf>
    <xf numFmtId="0" fontId="41" fillId="0" borderId="0" xfId="53" applyFont="1" applyAlignment="1">
      <alignment vertical="top"/>
    </xf>
    <xf numFmtId="0" fontId="3" fillId="0" borderId="0" xfId="53" applyAlignment="1"/>
    <xf numFmtId="0" fontId="8" fillId="0" borderId="40" xfId="56" applyFont="1" applyFill="1" applyBorder="1" applyAlignment="1">
      <alignment horizontal="left" vertical="top" wrapText="1"/>
    </xf>
    <xf numFmtId="0" fontId="8" fillId="0" borderId="0" xfId="56" applyFont="1" applyFill="1" applyBorder="1" applyAlignment="1">
      <alignment horizontal="left" vertical="top" wrapText="1"/>
    </xf>
    <xf numFmtId="0" fontId="8" fillId="0" borderId="0" xfId="56" applyFont="1" applyFill="1" applyBorder="1" applyAlignment="1">
      <alignment vertical="top" wrapText="1"/>
    </xf>
    <xf numFmtId="0" fontId="4" fillId="0" borderId="0" xfId="75" applyFont="1" applyAlignment="1">
      <alignment vertical="center"/>
    </xf>
    <xf numFmtId="0" fontId="3" fillId="0" borderId="0" xfId="53" applyAlignment="1">
      <alignment vertical="center"/>
    </xf>
    <xf numFmtId="0" fontId="6" fillId="0" borderId="0" xfId="56" applyFont="1" applyAlignment="1">
      <alignment horizontal="left" vertical="center" wrapText="1"/>
    </xf>
    <xf numFmtId="0" fontId="6" fillId="0" borderId="0" xfId="75" applyFont="1" applyAlignment="1">
      <alignment vertical="center"/>
    </xf>
    <xf numFmtId="0" fontId="3" fillId="0" borderId="0" xfId="53" applyFont="1" applyAlignment="1">
      <alignment vertical="center"/>
    </xf>
  </cellXfs>
  <cellStyles count="76">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Explanatory Text" xfId="28"/>
    <cellStyle name="Good" xfId="29"/>
    <cellStyle name="Heading 1" xfId="30"/>
    <cellStyle name="Heading 2" xfId="31"/>
    <cellStyle name="Heading 3" xfId="32"/>
    <cellStyle name="Heading 4" xfId="33"/>
    <cellStyle name="Input" xfId="34"/>
    <cellStyle name="Linked Cell" xfId="35"/>
    <cellStyle name="Neutral" xfId="36"/>
    <cellStyle name="Normal_Sheet1" xfId="73"/>
    <cellStyle name="Note" xfId="37"/>
    <cellStyle name="Output" xfId="38"/>
    <cellStyle name="Title" xfId="39"/>
    <cellStyle name="Total" xfId="40"/>
    <cellStyle name="Warning Text" xfId="41"/>
    <cellStyle name="パーセント 2" xfId="42"/>
    <cellStyle name="パーセント 3" xfId="43"/>
    <cellStyle name="パーセント 4" xfId="44"/>
    <cellStyle name="パーセント 4 2" xfId="45"/>
    <cellStyle name="桁区切り 2" xfId="46"/>
    <cellStyle name="常规 2" xfId="47"/>
    <cellStyle name="常规_Sheet1" xfId="48"/>
    <cellStyle name="常规_土壤植被报表-英文（Jinyunshan1）" xfId="75"/>
    <cellStyle name="常规_厦门2009土壤植被报表-英文" xfId="49"/>
    <cellStyle name="通貨 2" xfId="50"/>
    <cellStyle name="標準" xfId="0" builtinId="0"/>
    <cellStyle name="標準 10" xfId="51"/>
    <cellStyle name="標準 11" xfId="52"/>
    <cellStyle name="標準 12" xfId="53"/>
    <cellStyle name="標準 13" xfId="54"/>
    <cellStyle name="標準 14" xfId="55"/>
    <cellStyle name="標準 15" xfId="71"/>
    <cellStyle name="標準 16" xfId="72"/>
    <cellStyle name="標準 2" xfId="56"/>
    <cellStyle name="標準 2 2" xfId="57"/>
    <cellStyle name="標準 2 3" xfId="58"/>
    <cellStyle name="標準 2_D1" xfId="59"/>
    <cellStyle name="標準 3" xfId="60"/>
    <cellStyle name="標準 3 2" xfId="61"/>
    <cellStyle name="標準 4" xfId="62"/>
    <cellStyle name="標準 5" xfId="63"/>
    <cellStyle name="標準 5 2" xfId="64"/>
    <cellStyle name="標準 6" xfId="65"/>
    <cellStyle name="標準 7" xfId="66"/>
    <cellStyle name="標準 7 2" xfId="67"/>
    <cellStyle name="標準 8" xfId="68"/>
    <cellStyle name="標準 9" xfId="69"/>
    <cellStyle name="標準_h12土壌２回分析" xfId="70"/>
    <cellStyle name="標準_衰退度調査表" xfId="7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55"/>
  <sheetViews>
    <sheetView view="pageBreakPreview" zoomScale="70" zoomScaleNormal="60" zoomScaleSheetLayoutView="70" workbookViewId="0"/>
  </sheetViews>
  <sheetFormatPr defaultRowHeight="14.25"/>
  <cols>
    <col min="1" max="1" width="12.625" customWidth="1"/>
    <col min="2" max="2" width="9.875" customWidth="1"/>
    <col min="7" max="7" width="0" hidden="1" customWidth="1"/>
    <col min="15" max="15" width="9" customWidth="1"/>
  </cols>
  <sheetData>
    <row r="1" spans="1:20" ht="15">
      <c r="A1" s="13" t="s">
        <v>146</v>
      </c>
      <c r="B1" s="3"/>
      <c r="C1" s="3"/>
      <c r="D1" s="3"/>
      <c r="E1" s="3"/>
      <c r="F1" s="3"/>
      <c r="G1" s="3"/>
      <c r="H1" s="3"/>
      <c r="I1" s="3"/>
      <c r="J1" s="3"/>
      <c r="K1" s="3"/>
      <c r="L1" s="3"/>
      <c r="M1" s="3"/>
      <c r="N1" s="3"/>
      <c r="O1" s="3"/>
      <c r="P1" s="3"/>
      <c r="Q1" s="3"/>
      <c r="R1" s="3"/>
    </row>
    <row r="2" spans="1:20" ht="15">
      <c r="A2" s="4" t="s">
        <v>109</v>
      </c>
      <c r="B2" s="3"/>
      <c r="C2" s="3"/>
      <c r="D2" s="3"/>
      <c r="E2" s="3"/>
      <c r="F2" s="3"/>
      <c r="G2" s="3"/>
      <c r="H2" s="3"/>
      <c r="I2" s="3"/>
      <c r="J2" s="3"/>
      <c r="K2" s="3"/>
      <c r="L2" s="3"/>
      <c r="M2" s="3"/>
      <c r="N2" s="3"/>
      <c r="O2" s="3"/>
      <c r="P2" s="3"/>
      <c r="Q2" s="3"/>
      <c r="R2" s="3"/>
    </row>
    <row r="3" spans="1:20" ht="15">
      <c r="A3" s="2" t="s">
        <v>108</v>
      </c>
      <c r="B3" s="3"/>
      <c r="C3" s="3"/>
      <c r="D3" s="3"/>
      <c r="E3" s="3"/>
      <c r="F3" s="3"/>
      <c r="G3" s="3"/>
      <c r="H3" s="3"/>
      <c r="I3" s="3"/>
      <c r="J3" s="3"/>
      <c r="K3" s="3"/>
      <c r="L3" s="3"/>
      <c r="M3" s="3"/>
      <c r="N3" s="3"/>
      <c r="O3" s="3"/>
      <c r="P3" s="3"/>
      <c r="Q3" s="3"/>
      <c r="R3" s="3"/>
    </row>
    <row r="4" spans="1:20" ht="15">
      <c r="A4" s="2"/>
      <c r="B4" s="3"/>
      <c r="C4" s="3"/>
      <c r="D4" s="3"/>
      <c r="E4" s="3"/>
      <c r="F4" s="3"/>
      <c r="G4" s="3"/>
      <c r="H4" s="3"/>
      <c r="I4" s="3"/>
      <c r="J4" s="3"/>
      <c r="K4" s="3"/>
      <c r="L4" s="3"/>
      <c r="M4" s="3"/>
      <c r="N4" s="3"/>
      <c r="O4" s="3"/>
      <c r="P4" s="3"/>
      <c r="Q4" s="3"/>
      <c r="R4" s="3"/>
    </row>
    <row r="5" spans="1:20" ht="15">
      <c r="A5" s="14" t="s">
        <v>107</v>
      </c>
      <c r="B5" s="3"/>
      <c r="C5" s="3"/>
      <c r="D5" s="3"/>
      <c r="E5" s="3"/>
      <c r="F5" s="3"/>
      <c r="G5" s="3"/>
      <c r="H5" s="3"/>
      <c r="I5" s="3"/>
      <c r="J5" s="3"/>
      <c r="K5" s="3"/>
      <c r="L5" s="3"/>
      <c r="M5" s="3"/>
      <c r="N5" s="3"/>
      <c r="O5" s="3"/>
      <c r="P5" s="3"/>
      <c r="Q5" s="3"/>
      <c r="R5" s="3"/>
    </row>
    <row r="6" spans="1:20" ht="15.75" customHeight="1">
      <c r="A6" s="198" t="s">
        <v>4</v>
      </c>
      <c r="B6" s="215" t="s">
        <v>5</v>
      </c>
      <c r="C6" s="198" t="s">
        <v>6</v>
      </c>
      <c r="D6" s="198" t="s">
        <v>151</v>
      </c>
      <c r="E6" s="198" t="s">
        <v>7</v>
      </c>
      <c r="F6" s="201" t="s">
        <v>8</v>
      </c>
      <c r="G6" s="226" t="s">
        <v>9</v>
      </c>
      <c r="H6" s="203" t="s">
        <v>10</v>
      </c>
      <c r="I6" s="205"/>
      <c r="J6" s="203" t="s">
        <v>11</v>
      </c>
      <c r="K6" s="204"/>
      <c r="L6" s="204"/>
      <c r="M6" s="205"/>
      <c r="N6" s="29" t="s">
        <v>12</v>
      </c>
      <c r="O6" s="231" t="s">
        <v>13</v>
      </c>
      <c r="P6" s="232"/>
      <c r="Q6" s="6" t="s">
        <v>14</v>
      </c>
      <c r="R6" s="6" t="s">
        <v>100</v>
      </c>
      <c r="S6" s="112" t="s">
        <v>100</v>
      </c>
      <c r="T6" s="115"/>
    </row>
    <row r="7" spans="1:20" ht="15.75">
      <c r="A7" s="199"/>
      <c r="B7" s="216"/>
      <c r="C7" s="199"/>
      <c r="D7" s="199"/>
      <c r="E7" s="199"/>
      <c r="F7" s="202"/>
      <c r="G7" s="227"/>
      <c r="H7" s="229"/>
      <c r="I7" s="230"/>
      <c r="J7" s="7" t="s">
        <v>15</v>
      </c>
      <c r="K7" s="8" t="s">
        <v>16</v>
      </c>
      <c r="L7" s="8" t="s">
        <v>17</v>
      </c>
      <c r="M7" s="9" t="s">
        <v>18</v>
      </c>
      <c r="N7" s="9" t="s">
        <v>19</v>
      </c>
      <c r="O7" s="7" t="s">
        <v>20</v>
      </c>
      <c r="P7" s="9" t="s">
        <v>21</v>
      </c>
      <c r="Q7" s="10" t="s">
        <v>22</v>
      </c>
      <c r="R7" s="10" t="s">
        <v>101</v>
      </c>
      <c r="S7" s="113" t="s">
        <v>102</v>
      </c>
      <c r="T7" s="115"/>
    </row>
    <row r="8" spans="1:20" ht="20.25">
      <c r="A8" s="200"/>
      <c r="B8" s="217"/>
      <c r="C8" s="200"/>
      <c r="D8" s="200"/>
      <c r="E8" s="10" t="s">
        <v>23</v>
      </c>
      <c r="F8" s="202"/>
      <c r="G8" s="228"/>
      <c r="H8" s="31" t="s">
        <v>24</v>
      </c>
      <c r="I8" s="31" t="s">
        <v>25</v>
      </c>
      <c r="J8" s="218" t="s">
        <v>26</v>
      </c>
      <c r="K8" s="219"/>
      <c r="L8" s="219"/>
      <c r="M8" s="219"/>
      <c r="N8" s="219"/>
      <c r="O8" s="219"/>
      <c r="P8" s="219"/>
      <c r="Q8" s="233"/>
      <c r="R8" s="218" t="s">
        <v>103</v>
      </c>
      <c r="S8" s="219"/>
      <c r="T8" s="115"/>
    </row>
    <row r="9" spans="1:20" ht="22.5" customHeight="1">
      <c r="A9" s="206" t="s">
        <v>110</v>
      </c>
      <c r="B9" s="209" t="s">
        <v>141</v>
      </c>
      <c r="C9" s="212">
        <v>1</v>
      </c>
      <c r="D9" s="27">
        <v>1</v>
      </c>
      <c r="E9" s="220" t="s">
        <v>98</v>
      </c>
      <c r="F9" s="27">
        <v>1</v>
      </c>
      <c r="G9" s="21"/>
      <c r="H9" s="21">
        <v>3.99</v>
      </c>
      <c r="I9" s="21">
        <v>3.59</v>
      </c>
      <c r="J9" s="21">
        <v>0.67</v>
      </c>
      <c r="K9" s="21">
        <v>0.37</v>
      </c>
      <c r="L9" s="26">
        <v>0.19</v>
      </c>
      <c r="M9" s="26">
        <v>0.19</v>
      </c>
      <c r="N9" s="26">
        <f>O9+P9</f>
        <v>5.68</v>
      </c>
      <c r="O9" s="26">
        <v>4.91</v>
      </c>
      <c r="P9" s="26">
        <v>0.77</v>
      </c>
      <c r="Q9" s="21">
        <f>J9+K9+L9+M9+O9+P9</f>
        <v>7.1</v>
      </c>
      <c r="R9" s="21">
        <v>1.73</v>
      </c>
      <c r="S9" s="114">
        <v>0.19</v>
      </c>
      <c r="T9" s="115"/>
    </row>
    <row r="10" spans="1:20" ht="22.5" customHeight="1">
      <c r="A10" s="207"/>
      <c r="B10" s="210"/>
      <c r="C10" s="213"/>
      <c r="D10" s="27">
        <v>2</v>
      </c>
      <c r="E10" s="221"/>
      <c r="F10" s="27">
        <v>1</v>
      </c>
      <c r="G10" s="21"/>
      <c r="H10" s="21">
        <v>4.03</v>
      </c>
      <c r="I10" s="21">
        <v>3.63</v>
      </c>
      <c r="J10" s="21">
        <v>1.38</v>
      </c>
      <c r="K10" s="21">
        <v>0.46</v>
      </c>
      <c r="L10" s="26">
        <v>0.2</v>
      </c>
      <c r="M10" s="26">
        <v>0.12</v>
      </c>
      <c r="N10" s="26">
        <f t="shared" ref="N10:N18" si="0">O10+P10</f>
        <v>4.5999999999999996</v>
      </c>
      <c r="O10" s="26">
        <v>4.12</v>
      </c>
      <c r="P10" s="26">
        <v>0.48</v>
      </c>
      <c r="Q10" s="21">
        <f t="shared" ref="Q10:Q18" si="1">J10+K10+L10+M10+O10+P10</f>
        <v>6.76</v>
      </c>
      <c r="R10" s="21">
        <v>2.06</v>
      </c>
      <c r="S10" s="114">
        <v>0.32</v>
      </c>
      <c r="T10" s="115"/>
    </row>
    <row r="11" spans="1:20" ht="22.5" customHeight="1">
      <c r="A11" s="207"/>
      <c r="B11" s="210"/>
      <c r="C11" s="213"/>
      <c r="D11" s="27">
        <v>3</v>
      </c>
      <c r="E11" s="221"/>
      <c r="F11" s="27">
        <v>1</v>
      </c>
      <c r="G11" s="21"/>
      <c r="H11" s="21">
        <v>3.94</v>
      </c>
      <c r="I11" s="21">
        <v>3.65</v>
      </c>
      <c r="J11" s="21">
        <v>1.02</v>
      </c>
      <c r="K11" s="21">
        <v>0.42</v>
      </c>
      <c r="L11" s="26">
        <v>0.13</v>
      </c>
      <c r="M11" s="26">
        <v>0.11</v>
      </c>
      <c r="N11" s="26">
        <f t="shared" si="0"/>
        <v>4.0999999999999996</v>
      </c>
      <c r="O11" s="26">
        <v>3.38</v>
      </c>
      <c r="P11" s="26">
        <v>0.72</v>
      </c>
      <c r="Q11" s="21">
        <f t="shared" si="1"/>
        <v>5.7799999999999994</v>
      </c>
      <c r="R11" s="21">
        <v>2.13</v>
      </c>
      <c r="S11" s="114">
        <v>0.22</v>
      </c>
      <c r="T11" s="115"/>
    </row>
    <row r="12" spans="1:20" ht="22.5" customHeight="1">
      <c r="A12" s="207"/>
      <c r="B12" s="210"/>
      <c r="C12" s="213"/>
      <c r="D12" s="27">
        <v>4</v>
      </c>
      <c r="E12" s="221"/>
      <c r="F12" s="27">
        <v>1</v>
      </c>
      <c r="G12" s="21"/>
      <c r="H12" s="21">
        <v>4.04</v>
      </c>
      <c r="I12" s="21">
        <v>3.6</v>
      </c>
      <c r="J12" s="21">
        <v>1.05</v>
      </c>
      <c r="K12" s="21">
        <v>0.4</v>
      </c>
      <c r="L12" s="26">
        <v>0.16</v>
      </c>
      <c r="M12" s="26">
        <v>0.09</v>
      </c>
      <c r="N12" s="26">
        <f t="shared" si="0"/>
        <v>4.46</v>
      </c>
      <c r="O12" s="26">
        <v>3.96</v>
      </c>
      <c r="P12" s="26">
        <v>0.5</v>
      </c>
      <c r="Q12" s="21">
        <f t="shared" si="1"/>
        <v>6.16</v>
      </c>
      <c r="R12" s="22">
        <v>1.78</v>
      </c>
      <c r="S12" s="114">
        <v>0.15</v>
      </c>
      <c r="T12" s="115"/>
    </row>
    <row r="13" spans="1:20" ht="22.5" customHeight="1">
      <c r="A13" s="207"/>
      <c r="B13" s="210"/>
      <c r="C13" s="213"/>
      <c r="D13" s="27">
        <v>5</v>
      </c>
      <c r="E13" s="222"/>
      <c r="F13" s="27">
        <v>1</v>
      </c>
      <c r="G13" s="21"/>
      <c r="H13" s="21">
        <v>4.05</v>
      </c>
      <c r="I13" s="21">
        <v>3.61</v>
      </c>
      <c r="J13" s="21">
        <v>1.51</v>
      </c>
      <c r="K13" s="21">
        <v>0.51</v>
      </c>
      <c r="L13" s="26">
        <v>0.16</v>
      </c>
      <c r="M13" s="26">
        <v>0.1</v>
      </c>
      <c r="N13" s="26">
        <f t="shared" si="0"/>
        <v>4.6500000000000004</v>
      </c>
      <c r="O13" s="26">
        <v>3.95</v>
      </c>
      <c r="P13" s="26">
        <v>0.7</v>
      </c>
      <c r="Q13" s="21">
        <f t="shared" si="1"/>
        <v>6.9300000000000006</v>
      </c>
      <c r="R13" s="22">
        <v>0.65</v>
      </c>
      <c r="S13" s="114">
        <v>0.14000000000000001</v>
      </c>
      <c r="T13" s="115"/>
    </row>
    <row r="14" spans="1:20" ht="22.5" customHeight="1">
      <c r="A14" s="207"/>
      <c r="B14" s="210"/>
      <c r="C14" s="213"/>
      <c r="D14" s="27">
        <v>1</v>
      </c>
      <c r="E14" s="223" t="s">
        <v>27</v>
      </c>
      <c r="F14" s="27">
        <v>1</v>
      </c>
      <c r="G14" s="21"/>
      <c r="H14" s="21">
        <v>3.96</v>
      </c>
      <c r="I14" s="21">
        <v>3.6</v>
      </c>
      <c r="J14" s="21">
        <v>0.52</v>
      </c>
      <c r="K14" s="21">
        <v>0.23</v>
      </c>
      <c r="L14" s="26">
        <v>7.0000000000000007E-2</v>
      </c>
      <c r="M14" s="26">
        <v>0.04</v>
      </c>
      <c r="N14" s="26">
        <f t="shared" si="0"/>
        <v>4.74</v>
      </c>
      <c r="O14" s="26">
        <v>4.26</v>
      </c>
      <c r="P14" s="26">
        <v>0.48</v>
      </c>
      <c r="Q14" s="21">
        <f t="shared" si="1"/>
        <v>5.6</v>
      </c>
      <c r="R14" s="22">
        <v>1.24</v>
      </c>
      <c r="S14" s="114">
        <v>0.13</v>
      </c>
      <c r="T14" s="115"/>
    </row>
    <row r="15" spans="1:20" ht="22.5" customHeight="1">
      <c r="A15" s="207"/>
      <c r="B15" s="210"/>
      <c r="C15" s="213"/>
      <c r="D15" s="27">
        <v>2</v>
      </c>
      <c r="E15" s="224"/>
      <c r="F15" s="27">
        <v>1</v>
      </c>
      <c r="G15" s="21"/>
      <c r="H15" s="21">
        <v>3.96</v>
      </c>
      <c r="I15" s="21">
        <v>3.6</v>
      </c>
      <c r="J15" s="21">
        <v>0.79</v>
      </c>
      <c r="K15" s="21">
        <v>0.3</v>
      </c>
      <c r="L15" s="26">
        <v>0.12</v>
      </c>
      <c r="M15" s="26">
        <v>0.06</v>
      </c>
      <c r="N15" s="26">
        <f t="shared" si="0"/>
        <v>4.5</v>
      </c>
      <c r="O15" s="26">
        <v>3.81</v>
      </c>
      <c r="P15" s="26">
        <v>0.69</v>
      </c>
      <c r="Q15" s="21">
        <f t="shared" si="1"/>
        <v>5.77</v>
      </c>
      <c r="R15" s="22">
        <v>1.25</v>
      </c>
      <c r="S15" s="114">
        <v>0.13</v>
      </c>
      <c r="T15" s="115"/>
    </row>
    <row r="16" spans="1:20" ht="22.5" customHeight="1">
      <c r="A16" s="207"/>
      <c r="B16" s="210"/>
      <c r="C16" s="213"/>
      <c r="D16" s="27">
        <v>3</v>
      </c>
      <c r="E16" s="224"/>
      <c r="F16" s="27">
        <v>1</v>
      </c>
      <c r="G16" s="21"/>
      <c r="H16" s="21">
        <v>4</v>
      </c>
      <c r="I16" s="21">
        <v>3.63</v>
      </c>
      <c r="J16" s="21">
        <v>0.56999999999999995</v>
      </c>
      <c r="K16" s="21">
        <v>0.27</v>
      </c>
      <c r="L16" s="26">
        <v>0.14000000000000001</v>
      </c>
      <c r="M16" s="26">
        <v>0.23</v>
      </c>
      <c r="N16" s="26">
        <f t="shared" si="0"/>
        <v>4.7200000000000006</v>
      </c>
      <c r="O16" s="26">
        <v>4.03</v>
      </c>
      <c r="P16" s="26">
        <v>0.69</v>
      </c>
      <c r="Q16" s="21">
        <f t="shared" si="1"/>
        <v>5.93</v>
      </c>
      <c r="R16" s="22">
        <v>1.24</v>
      </c>
      <c r="S16" s="114">
        <v>0.12</v>
      </c>
      <c r="T16" s="115"/>
    </row>
    <row r="17" spans="1:20" ht="22.5" customHeight="1">
      <c r="A17" s="207"/>
      <c r="B17" s="210"/>
      <c r="C17" s="213"/>
      <c r="D17" s="27">
        <v>4</v>
      </c>
      <c r="E17" s="224"/>
      <c r="F17" s="27">
        <v>1</v>
      </c>
      <c r="G17" s="24"/>
      <c r="H17" s="24">
        <v>3.92</v>
      </c>
      <c r="I17" s="24">
        <v>3.65</v>
      </c>
      <c r="J17" s="24">
        <v>1</v>
      </c>
      <c r="K17" s="24">
        <v>0.6</v>
      </c>
      <c r="L17" s="22">
        <v>0.17</v>
      </c>
      <c r="M17" s="22">
        <v>0.17</v>
      </c>
      <c r="N17" s="26">
        <f t="shared" si="0"/>
        <v>4.12</v>
      </c>
      <c r="O17" s="22">
        <v>3.41</v>
      </c>
      <c r="P17" s="22">
        <v>0.71</v>
      </c>
      <c r="Q17" s="21">
        <f t="shared" si="1"/>
        <v>6.06</v>
      </c>
      <c r="R17" s="30">
        <v>1.1399999999999999</v>
      </c>
      <c r="S17" s="114">
        <v>0.13</v>
      </c>
      <c r="T17" s="115"/>
    </row>
    <row r="18" spans="1:20" ht="22.5" customHeight="1">
      <c r="A18" s="208"/>
      <c r="B18" s="211"/>
      <c r="C18" s="214"/>
      <c r="D18" s="27">
        <v>5</v>
      </c>
      <c r="E18" s="225"/>
      <c r="F18" s="27">
        <v>1</v>
      </c>
      <c r="G18" s="24"/>
      <c r="H18" s="24">
        <v>3.84</v>
      </c>
      <c r="I18" s="24">
        <v>3.59</v>
      </c>
      <c r="J18" s="24">
        <v>0.96</v>
      </c>
      <c r="K18" s="24">
        <v>0.34</v>
      </c>
      <c r="L18" s="22">
        <v>0.12</v>
      </c>
      <c r="M18" s="22">
        <v>0.05</v>
      </c>
      <c r="N18" s="26">
        <f t="shared" si="0"/>
        <v>4.4799999999999995</v>
      </c>
      <c r="O18" s="22">
        <v>3.86</v>
      </c>
      <c r="P18" s="22">
        <v>0.62</v>
      </c>
      <c r="Q18" s="21">
        <f t="shared" si="1"/>
        <v>5.95</v>
      </c>
      <c r="R18" s="30">
        <v>1.42</v>
      </c>
      <c r="S18" s="114">
        <v>0.05</v>
      </c>
      <c r="T18" s="115"/>
    </row>
    <row r="19" spans="1:20" ht="15.75" customHeight="1">
      <c r="A19" s="16"/>
      <c r="B19" s="16"/>
      <c r="C19" s="17"/>
      <c r="D19" s="28"/>
      <c r="E19" s="3"/>
      <c r="F19" s="3"/>
      <c r="G19" s="5"/>
      <c r="H19" s="5"/>
      <c r="I19" s="11"/>
      <c r="J19" s="12"/>
      <c r="K19" s="5"/>
      <c r="L19" s="5"/>
      <c r="M19" s="5"/>
      <c r="N19" s="5"/>
      <c r="O19" s="5"/>
      <c r="P19" s="5"/>
      <c r="Q19" s="5"/>
      <c r="R19" s="23"/>
    </row>
    <row r="20" spans="1:20" ht="15.75">
      <c r="A20" s="14"/>
      <c r="B20" s="18"/>
      <c r="C20" s="19"/>
      <c r="D20" s="15"/>
      <c r="E20" s="5"/>
      <c r="F20" s="5"/>
      <c r="G20" s="5"/>
      <c r="H20" s="5"/>
      <c r="I20" s="11"/>
      <c r="J20" s="12"/>
      <c r="K20" s="5"/>
      <c r="L20" s="5"/>
      <c r="M20" s="5"/>
      <c r="N20" s="5"/>
      <c r="O20" s="5"/>
      <c r="P20" s="5"/>
      <c r="Q20" s="5"/>
      <c r="R20" s="23"/>
    </row>
    <row r="21" spans="1:20" ht="15">
      <c r="A21" s="13" t="s">
        <v>147</v>
      </c>
      <c r="B21" s="3"/>
      <c r="C21" s="3"/>
      <c r="D21" s="3"/>
      <c r="E21" s="3"/>
      <c r="F21" s="3"/>
      <c r="G21" s="3"/>
      <c r="H21" s="3"/>
      <c r="I21" s="3"/>
      <c r="J21" s="3"/>
      <c r="K21" s="3"/>
      <c r="L21" s="3"/>
      <c r="M21" s="3"/>
      <c r="N21" s="3"/>
      <c r="O21" s="3"/>
      <c r="P21" s="3"/>
      <c r="Q21" s="3"/>
      <c r="R21" s="3"/>
    </row>
    <row r="22" spans="1:20" ht="15">
      <c r="A22" s="4" t="s">
        <v>142</v>
      </c>
      <c r="B22" s="3"/>
      <c r="C22" s="3"/>
      <c r="D22" s="3"/>
      <c r="E22" s="3"/>
      <c r="F22" s="3"/>
      <c r="G22" s="3"/>
      <c r="H22" s="3"/>
      <c r="I22" s="3"/>
      <c r="J22" s="3"/>
      <c r="K22" s="3"/>
      <c r="L22" s="3"/>
      <c r="M22" s="3"/>
      <c r="N22" s="3"/>
      <c r="O22" s="3"/>
      <c r="P22" s="3"/>
      <c r="Q22" s="3"/>
      <c r="R22" s="3"/>
    </row>
    <row r="23" spans="1:20" ht="15">
      <c r="A23" s="2" t="s">
        <v>106</v>
      </c>
      <c r="B23" s="3"/>
      <c r="C23" s="3"/>
      <c r="D23" s="3"/>
      <c r="E23" s="3"/>
      <c r="F23" s="3"/>
      <c r="G23" s="3"/>
      <c r="H23" s="3"/>
      <c r="I23" s="3"/>
      <c r="J23" s="3"/>
      <c r="K23" s="3"/>
      <c r="L23" s="3"/>
      <c r="M23" s="3"/>
      <c r="N23" s="3"/>
      <c r="O23" s="3"/>
      <c r="P23" s="3"/>
      <c r="Q23" s="3"/>
      <c r="R23" s="3"/>
    </row>
    <row r="24" spans="1:20" ht="15">
      <c r="A24" s="2"/>
      <c r="B24" s="3"/>
      <c r="C24" s="3"/>
      <c r="D24" s="3"/>
      <c r="E24" s="3"/>
      <c r="F24" s="3"/>
      <c r="G24" s="3"/>
      <c r="H24" s="3"/>
      <c r="I24" s="3"/>
      <c r="J24" s="3"/>
      <c r="K24" s="3"/>
      <c r="L24" s="3"/>
      <c r="M24" s="3"/>
      <c r="N24" s="3"/>
      <c r="O24" s="3"/>
      <c r="P24" s="3"/>
      <c r="Q24" s="3"/>
      <c r="R24" s="3"/>
    </row>
    <row r="25" spans="1:20" ht="15">
      <c r="A25" s="14" t="s">
        <v>107</v>
      </c>
      <c r="B25" s="3"/>
      <c r="C25" s="3"/>
      <c r="D25" s="3"/>
      <c r="E25" s="3"/>
      <c r="F25" s="3"/>
      <c r="G25" s="3"/>
      <c r="H25" s="3"/>
      <c r="I25" s="3"/>
      <c r="J25" s="3"/>
      <c r="K25" s="3"/>
      <c r="L25" s="3"/>
      <c r="M25" s="3"/>
      <c r="N25" s="3"/>
      <c r="O25" s="3"/>
      <c r="P25" s="3"/>
      <c r="Q25" s="3"/>
      <c r="R25" s="3"/>
    </row>
    <row r="26" spans="1:20" ht="15.75" customHeight="1">
      <c r="A26" s="198" t="s">
        <v>4</v>
      </c>
      <c r="B26" s="215" t="s">
        <v>5</v>
      </c>
      <c r="C26" s="198" t="s">
        <v>6</v>
      </c>
      <c r="D26" s="198" t="s">
        <v>144</v>
      </c>
      <c r="E26" s="198" t="s">
        <v>7</v>
      </c>
      <c r="F26" s="201" t="s">
        <v>8</v>
      </c>
      <c r="G26" s="226" t="s">
        <v>9</v>
      </c>
      <c r="H26" s="203" t="s">
        <v>10</v>
      </c>
      <c r="I26" s="205"/>
      <c r="J26" s="203" t="s">
        <v>11</v>
      </c>
      <c r="K26" s="204"/>
      <c r="L26" s="204"/>
      <c r="M26" s="205"/>
      <c r="N26" s="32" t="s">
        <v>12</v>
      </c>
      <c r="O26" s="231" t="s">
        <v>13</v>
      </c>
      <c r="P26" s="232"/>
      <c r="Q26" s="6" t="s">
        <v>14</v>
      </c>
      <c r="R26" s="6" t="s">
        <v>100</v>
      </c>
      <c r="S26" s="108" t="s">
        <v>100</v>
      </c>
      <c r="T26" s="215" t="s">
        <v>104</v>
      </c>
    </row>
    <row r="27" spans="1:20" ht="15.75">
      <c r="A27" s="199"/>
      <c r="B27" s="216"/>
      <c r="C27" s="199"/>
      <c r="D27" s="199"/>
      <c r="E27" s="199"/>
      <c r="F27" s="202"/>
      <c r="G27" s="227"/>
      <c r="H27" s="229"/>
      <c r="I27" s="230"/>
      <c r="J27" s="7" t="s">
        <v>15</v>
      </c>
      <c r="K27" s="8" t="s">
        <v>16</v>
      </c>
      <c r="L27" s="8" t="s">
        <v>17</v>
      </c>
      <c r="M27" s="9" t="s">
        <v>18</v>
      </c>
      <c r="N27" s="9" t="s">
        <v>19</v>
      </c>
      <c r="O27" s="7" t="s">
        <v>20</v>
      </c>
      <c r="P27" s="9" t="s">
        <v>21</v>
      </c>
      <c r="Q27" s="10" t="s">
        <v>22</v>
      </c>
      <c r="R27" s="10" t="s">
        <v>101</v>
      </c>
      <c r="S27" s="109" t="s">
        <v>102</v>
      </c>
      <c r="T27" s="217"/>
    </row>
    <row r="28" spans="1:20" ht="20.25">
      <c r="A28" s="200"/>
      <c r="B28" s="217"/>
      <c r="C28" s="200"/>
      <c r="D28" s="200"/>
      <c r="E28" s="10" t="s">
        <v>23</v>
      </c>
      <c r="F28" s="202"/>
      <c r="G28" s="228"/>
      <c r="H28" s="31" t="s">
        <v>24</v>
      </c>
      <c r="I28" s="31" t="s">
        <v>25</v>
      </c>
      <c r="J28" s="218" t="s">
        <v>26</v>
      </c>
      <c r="K28" s="219"/>
      <c r="L28" s="219"/>
      <c r="M28" s="219"/>
      <c r="N28" s="219"/>
      <c r="O28" s="219"/>
      <c r="P28" s="219"/>
      <c r="Q28" s="233"/>
      <c r="R28" s="218" t="s">
        <v>103</v>
      </c>
      <c r="S28" s="233"/>
      <c r="T28" s="110" t="s">
        <v>105</v>
      </c>
    </row>
    <row r="29" spans="1:20" ht="22.5" customHeight="1">
      <c r="A29" s="206" t="s">
        <v>99</v>
      </c>
      <c r="B29" s="209" t="s">
        <v>139</v>
      </c>
      <c r="C29" s="212">
        <v>1</v>
      </c>
      <c r="D29" s="27">
        <v>1</v>
      </c>
      <c r="E29" s="220" t="s">
        <v>98</v>
      </c>
      <c r="F29" s="27">
        <v>1</v>
      </c>
      <c r="G29" s="21"/>
      <c r="H29" s="21">
        <v>4.5</v>
      </c>
      <c r="I29" s="21">
        <v>3.41</v>
      </c>
      <c r="J29" s="21">
        <v>0.49</v>
      </c>
      <c r="K29" s="21">
        <v>0.61</v>
      </c>
      <c r="L29" s="26">
        <v>0.31</v>
      </c>
      <c r="M29" s="26">
        <v>0.13</v>
      </c>
      <c r="N29" s="195" t="s">
        <v>143</v>
      </c>
      <c r="O29" s="26">
        <v>2.37</v>
      </c>
      <c r="P29" s="195" t="s">
        <v>143</v>
      </c>
      <c r="Q29" s="21">
        <v>5.17</v>
      </c>
      <c r="R29" s="21">
        <v>2.29</v>
      </c>
      <c r="S29" s="111">
        <v>1.6E-2</v>
      </c>
      <c r="T29" s="111">
        <v>3.9</v>
      </c>
    </row>
    <row r="30" spans="1:20" ht="22.5" customHeight="1">
      <c r="A30" s="207"/>
      <c r="B30" s="210"/>
      <c r="C30" s="213"/>
      <c r="D30" s="27">
        <v>2</v>
      </c>
      <c r="E30" s="221"/>
      <c r="F30" s="27">
        <v>1</v>
      </c>
      <c r="G30" s="21"/>
      <c r="H30" s="21">
        <v>4.4000000000000004</v>
      </c>
      <c r="I30" s="21">
        <v>3.48</v>
      </c>
      <c r="J30" s="21">
        <v>0.05</v>
      </c>
      <c r="K30" s="21">
        <v>0.23</v>
      </c>
      <c r="L30" s="26">
        <v>0.08</v>
      </c>
      <c r="M30" s="26">
        <v>0.09</v>
      </c>
      <c r="N30" s="196"/>
      <c r="O30" s="26">
        <v>3.21</v>
      </c>
      <c r="P30" s="196"/>
      <c r="Q30" s="21">
        <v>7.67</v>
      </c>
      <c r="R30" s="21">
        <v>0.83</v>
      </c>
      <c r="S30" s="111">
        <v>7.0000000000000007E-2</v>
      </c>
      <c r="T30" s="111">
        <v>1.4</v>
      </c>
    </row>
    <row r="31" spans="1:20" ht="22.5" customHeight="1">
      <c r="A31" s="207"/>
      <c r="B31" s="210"/>
      <c r="C31" s="213"/>
      <c r="D31" s="27">
        <v>3</v>
      </c>
      <c r="E31" s="221"/>
      <c r="F31" s="27">
        <v>1</v>
      </c>
      <c r="G31" s="21"/>
      <c r="H31" s="21">
        <v>4.5</v>
      </c>
      <c r="I31" s="21">
        <v>4.54</v>
      </c>
      <c r="J31" s="21">
        <v>0.49</v>
      </c>
      <c r="K31" s="21">
        <v>0.61</v>
      </c>
      <c r="L31" s="26">
        <v>0.32</v>
      </c>
      <c r="M31" s="26">
        <v>0.1</v>
      </c>
      <c r="N31" s="196"/>
      <c r="O31" s="26">
        <v>2.4</v>
      </c>
      <c r="P31" s="196"/>
      <c r="Q31" s="21">
        <v>5.2</v>
      </c>
      <c r="R31" s="22">
        <v>2.27</v>
      </c>
      <c r="S31" s="111">
        <v>0.15</v>
      </c>
      <c r="T31" s="111">
        <v>3.5</v>
      </c>
    </row>
    <row r="32" spans="1:20" ht="22.5" customHeight="1">
      <c r="A32" s="207"/>
      <c r="B32" s="210"/>
      <c r="C32" s="213"/>
      <c r="D32" s="27">
        <v>4</v>
      </c>
      <c r="E32" s="222"/>
      <c r="F32" s="27">
        <v>1</v>
      </c>
      <c r="G32" s="21"/>
      <c r="H32" s="21">
        <v>4.5</v>
      </c>
      <c r="I32" s="21">
        <v>3.61</v>
      </c>
      <c r="J32" s="21">
        <v>0.45</v>
      </c>
      <c r="K32" s="21">
        <v>0.57999999999999996</v>
      </c>
      <c r="L32" s="26">
        <v>0.33</v>
      </c>
      <c r="M32" s="26">
        <v>0.12</v>
      </c>
      <c r="N32" s="196"/>
      <c r="O32" s="26">
        <v>2.33</v>
      </c>
      <c r="P32" s="196"/>
      <c r="Q32" s="21">
        <v>5.12</v>
      </c>
      <c r="R32" s="22">
        <v>2</v>
      </c>
      <c r="S32" s="111">
        <v>0.1</v>
      </c>
      <c r="T32" s="111">
        <v>3.8</v>
      </c>
    </row>
    <row r="33" spans="1:20" ht="22.5" customHeight="1">
      <c r="A33" s="207"/>
      <c r="B33" s="210"/>
      <c r="C33" s="213"/>
      <c r="D33" s="27">
        <v>1</v>
      </c>
      <c r="E33" s="223" t="s">
        <v>27</v>
      </c>
      <c r="F33" s="27">
        <v>1</v>
      </c>
      <c r="G33" s="21"/>
      <c r="H33" s="21">
        <v>4.7</v>
      </c>
      <c r="I33" s="21">
        <v>4.0199999999999996</v>
      </c>
      <c r="J33" s="21">
        <v>0.08</v>
      </c>
      <c r="K33" s="21">
        <v>0.1</v>
      </c>
      <c r="L33" s="26">
        <v>0.14000000000000001</v>
      </c>
      <c r="M33" s="26">
        <v>0.18</v>
      </c>
      <c r="N33" s="196"/>
      <c r="O33" s="26">
        <v>3.58</v>
      </c>
      <c r="P33" s="196"/>
      <c r="Q33" s="21">
        <v>5.35</v>
      </c>
      <c r="R33" s="22">
        <v>0.42</v>
      </c>
      <c r="S33" s="111">
        <v>0.06</v>
      </c>
      <c r="T33" s="111">
        <v>0.9</v>
      </c>
    </row>
    <row r="34" spans="1:20" ht="22.5" customHeight="1">
      <c r="A34" s="207"/>
      <c r="B34" s="210"/>
      <c r="C34" s="213"/>
      <c r="D34" s="27">
        <v>2</v>
      </c>
      <c r="E34" s="224"/>
      <c r="F34" s="27">
        <v>1</v>
      </c>
      <c r="G34" s="21"/>
      <c r="H34" s="21">
        <v>4.7</v>
      </c>
      <c r="I34" s="21">
        <v>4.0599999999999996</v>
      </c>
      <c r="J34" s="21">
        <v>0.05</v>
      </c>
      <c r="K34" s="21">
        <v>7.0000000000000007E-2</v>
      </c>
      <c r="L34" s="26">
        <v>0.1</v>
      </c>
      <c r="M34" s="26">
        <v>0.12</v>
      </c>
      <c r="N34" s="196"/>
      <c r="O34" s="26">
        <v>3.59</v>
      </c>
      <c r="P34" s="196"/>
      <c r="Q34" s="21">
        <v>5.94</v>
      </c>
      <c r="R34" s="22">
        <v>0.42</v>
      </c>
      <c r="S34" s="111">
        <v>0.04</v>
      </c>
      <c r="T34" s="111">
        <v>0.5</v>
      </c>
    </row>
    <row r="35" spans="1:20" ht="22.5" customHeight="1">
      <c r="A35" s="207"/>
      <c r="B35" s="210"/>
      <c r="C35" s="213"/>
      <c r="D35" s="27">
        <v>3</v>
      </c>
      <c r="E35" s="224"/>
      <c r="F35" s="27">
        <v>1</v>
      </c>
      <c r="G35" s="24"/>
      <c r="H35" s="24">
        <v>4.5999999999999996</v>
      </c>
      <c r="I35" s="24">
        <v>4.05</v>
      </c>
      <c r="J35" s="24">
        <v>0.03</v>
      </c>
      <c r="K35" s="24">
        <v>0.06</v>
      </c>
      <c r="L35" s="22">
        <v>0.1</v>
      </c>
      <c r="M35" s="22">
        <v>0.09</v>
      </c>
      <c r="N35" s="196"/>
      <c r="O35" s="22">
        <v>3.28</v>
      </c>
      <c r="P35" s="196"/>
      <c r="Q35" s="21">
        <v>6.45</v>
      </c>
      <c r="R35" s="30">
        <v>0.31</v>
      </c>
      <c r="S35" s="111">
        <v>0.04</v>
      </c>
      <c r="T35" s="111">
        <v>0.3</v>
      </c>
    </row>
    <row r="36" spans="1:20" ht="22.5" customHeight="1">
      <c r="A36" s="208"/>
      <c r="B36" s="211"/>
      <c r="C36" s="214"/>
      <c r="D36" s="27">
        <v>4</v>
      </c>
      <c r="E36" s="225"/>
      <c r="F36" s="27">
        <v>1</v>
      </c>
      <c r="G36" s="24"/>
      <c r="H36" s="24">
        <v>4.5999999999999996</v>
      </c>
      <c r="I36" s="24">
        <v>4.01</v>
      </c>
      <c r="J36" s="24">
        <v>0.08</v>
      </c>
      <c r="K36" s="24">
        <v>7.0000000000000007E-2</v>
      </c>
      <c r="L36" s="22">
        <v>0.09</v>
      </c>
      <c r="M36" s="22">
        <v>0.1</v>
      </c>
      <c r="N36" s="196"/>
      <c r="O36" s="22">
        <v>3.62</v>
      </c>
      <c r="P36" s="196"/>
      <c r="Q36" s="21">
        <v>11.56</v>
      </c>
      <c r="R36" s="30">
        <v>0.23</v>
      </c>
      <c r="S36" s="111">
        <v>0.03</v>
      </c>
      <c r="T36" s="111">
        <v>0.4</v>
      </c>
    </row>
    <row r="37" spans="1:20" ht="22.5" customHeight="1">
      <c r="A37" s="206" t="s">
        <v>99</v>
      </c>
      <c r="B37" s="209" t="s">
        <v>140</v>
      </c>
      <c r="C37" s="212">
        <v>2</v>
      </c>
      <c r="D37" s="27">
        <v>1</v>
      </c>
      <c r="E37" s="220" t="s">
        <v>98</v>
      </c>
      <c r="F37" s="27">
        <v>1</v>
      </c>
      <c r="G37" s="21"/>
      <c r="H37" s="21">
        <v>3.9</v>
      </c>
      <c r="I37" s="21">
        <v>3.47</v>
      </c>
      <c r="J37" s="21">
        <v>0.12</v>
      </c>
      <c r="K37" s="21">
        <v>0.14000000000000001</v>
      </c>
      <c r="L37" s="26">
        <v>0.1</v>
      </c>
      <c r="M37" s="26">
        <v>0.1</v>
      </c>
      <c r="N37" s="196"/>
      <c r="O37" s="26">
        <v>2.99</v>
      </c>
      <c r="P37" s="196"/>
      <c r="Q37" s="21">
        <v>6.42</v>
      </c>
      <c r="R37" s="21">
        <v>1.76</v>
      </c>
      <c r="S37" s="111">
        <v>0.16</v>
      </c>
      <c r="T37" s="111">
        <v>2.5</v>
      </c>
    </row>
    <row r="38" spans="1:20" ht="22.5" customHeight="1">
      <c r="A38" s="207"/>
      <c r="B38" s="210"/>
      <c r="C38" s="213"/>
      <c r="D38" s="27">
        <v>2</v>
      </c>
      <c r="E38" s="221"/>
      <c r="F38" s="27">
        <v>1</v>
      </c>
      <c r="G38" s="21"/>
      <c r="H38" s="21">
        <v>4.0999999999999996</v>
      </c>
      <c r="I38" s="21">
        <v>3.57</v>
      </c>
      <c r="J38" s="21">
        <v>0.02</v>
      </c>
      <c r="K38" s="21">
        <v>0.03</v>
      </c>
      <c r="L38" s="26">
        <v>0.03</v>
      </c>
      <c r="M38" s="26">
        <v>0.03</v>
      </c>
      <c r="N38" s="196"/>
      <c r="O38" s="26">
        <v>3.42</v>
      </c>
      <c r="P38" s="196"/>
      <c r="Q38" s="21">
        <v>8.01</v>
      </c>
      <c r="R38" s="21">
        <v>1.03</v>
      </c>
      <c r="S38" s="111">
        <v>0.08</v>
      </c>
      <c r="T38" s="111">
        <v>1.6</v>
      </c>
    </row>
    <row r="39" spans="1:20" ht="22.5" customHeight="1">
      <c r="A39" s="207"/>
      <c r="B39" s="210"/>
      <c r="C39" s="213"/>
      <c r="D39" s="27">
        <v>3</v>
      </c>
      <c r="E39" s="221"/>
      <c r="F39" s="27">
        <v>1</v>
      </c>
      <c r="G39" s="21"/>
      <c r="H39" s="21">
        <v>4.2</v>
      </c>
      <c r="I39" s="21">
        <v>3.51</v>
      </c>
      <c r="J39" s="21">
        <v>0.02</v>
      </c>
      <c r="K39" s="21">
        <v>0.02</v>
      </c>
      <c r="L39" s="26">
        <v>0.03</v>
      </c>
      <c r="M39" s="26">
        <v>0.1</v>
      </c>
      <c r="N39" s="196"/>
      <c r="O39" s="26">
        <v>3.4</v>
      </c>
      <c r="P39" s="196"/>
      <c r="Q39" s="21">
        <v>7.9</v>
      </c>
      <c r="R39" s="22">
        <v>2.27</v>
      </c>
      <c r="S39" s="111">
        <v>0.15</v>
      </c>
      <c r="T39" s="111">
        <v>3.5</v>
      </c>
    </row>
    <row r="40" spans="1:20" ht="22.5" customHeight="1">
      <c r="A40" s="207"/>
      <c r="B40" s="210"/>
      <c r="C40" s="213"/>
      <c r="D40" s="27">
        <v>4</v>
      </c>
      <c r="E40" s="222"/>
      <c r="F40" s="27">
        <v>1</v>
      </c>
      <c r="G40" s="21"/>
      <c r="H40" s="21">
        <v>4</v>
      </c>
      <c r="I40" s="21">
        <v>4.0199999999999996</v>
      </c>
      <c r="J40" s="21">
        <v>0.11</v>
      </c>
      <c r="K40" s="21">
        <v>0.14000000000000001</v>
      </c>
      <c r="L40" s="26">
        <v>0.1</v>
      </c>
      <c r="M40" s="26">
        <v>0.12</v>
      </c>
      <c r="N40" s="196"/>
      <c r="O40" s="26">
        <v>2.13</v>
      </c>
      <c r="P40" s="196"/>
      <c r="Q40" s="21">
        <v>6.2</v>
      </c>
      <c r="R40" s="22">
        <v>2</v>
      </c>
      <c r="S40" s="111">
        <v>0.1</v>
      </c>
      <c r="T40" s="111">
        <v>3.8</v>
      </c>
    </row>
    <row r="41" spans="1:20" ht="22.5" customHeight="1">
      <c r="A41" s="207"/>
      <c r="B41" s="210"/>
      <c r="C41" s="213"/>
      <c r="D41" s="27">
        <v>1</v>
      </c>
      <c r="E41" s="223" t="s">
        <v>27</v>
      </c>
      <c r="F41" s="27">
        <v>1</v>
      </c>
      <c r="G41" s="21"/>
      <c r="H41" s="21">
        <v>4.5</v>
      </c>
      <c r="I41" s="21">
        <v>4.0599999999999996</v>
      </c>
      <c r="J41" s="21">
        <v>0.03</v>
      </c>
      <c r="K41" s="21">
        <v>0.04</v>
      </c>
      <c r="L41" s="26">
        <v>0.02</v>
      </c>
      <c r="M41" s="26">
        <v>0.03</v>
      </c>
      <c r="N41" s="196"/>
      <c r="O41" s="26">
        <v>3.31</v>
      </c>
      <c r="P41" s="196"/>
      <c r="Q41" s="21">
        <v>5.18</v>
      </c>
      <c r="R41" s="22">
        <v>0.35</v>
      </c>
      <c r="S41" s="111">
        <v>0.04</v>
      </c>
      <c r="T41" s="111">
        <v>0.9</v>
      </c>
    </row>
    <row r="42" spans="1:20" ht="22.5" customHeight="1">
      <c r="A42" s="207"/>
      <c r="B42" s="210"/>
      <c r="C42" s="213"/>
      <c r="D42" s="27">
        <v>2</v>
      </c>
      <c r="E42" s="224"/>
      <c r="F42" s="27">
        <v>1</v>
      </c>
      <c r="G42" s="21"/>
      <c r="H42" s="21">
        <v>4.5</v>
      </c>
      <c r="I42" s="21">
        <v>3.54</v>
      </c>
      <c r="J42" s="21">
        <v>0.08</v>
      </c>
      <c r="K42" s="21">
        <v>0</v>
      </c>
      <c r="L42" s="26">
        <v>0.03</v>
      </c>
      <c r="M42" s="26">
        <v>0.02</v>
      </c>
      <c r="N42" s="196"/>
      <c r="O42" s="26">
        <v>3.46</v>
      </c>
      <c r="P42" s="196"/>
      <c r="Q42" s="21">
        <v>5.08</v>
      </c>
      <c r="R42" s="22">
        <v>0.24</v>
      </c>
      <c r="S42" s="111">
        <v>0.03</v>
      </c>
      <c r="T42" s="111">
        <v>0.3</v>
      </c>
    </row>
    <row r="43" spans="1:20" ht="22.5" customHeight="1">
      <c r="A43" s="207"/>
      <c r="B43" s="210"/>
      <c r="C43" s="213"/>
      <c r="D43" s="27">
        <v>3</v>
      </c>
      <c r="E43" s="224"/>
      <c r="F43" s="27">
        <v>1</v>
      </c>
      <c r="G43" s="24"/>
      <c r="H43" s="24">
        <v>4.7</v>
      </c>
      <c r="I43" s="24">
        <v>4.0999999999999996</v>
      </c>
      <c r="J43" s="24">
        <v>0.15</v>
      </c>
      <c r="K43" s="24">
        <v>0.04</v>
      </c>
      <c r="L43" s="22">
        <v>0.03</v>
      </c>
      <c r="M43" s="22">
        <v>0.04</v>
      </c>
      <c r="N43" s="196"/>
      <c r="O43" s="22">
        <v>3.7</v>
      </c>
      <c r="P43" s="196"/>
      <c r="Q43" s="21">
        <v>6</v>
      </c>
      <c r="R43" s="30">
        <v>0.24</v>
      </c>
      <c r="S43" s="111">
        <v>0.03</v>
      </c>
      <c r="T43" s="111">
        <v>0.4</v>
      </c>
    </row>
    <row r="44" spans="1:20" ht="22.5" customHeight="1">
      <c r="A44" s="208"/>
      <c r="B44" s="211"/>
      <c r="C44" s="214"/>
      <c r="D44" s="27">
        <v>4</v>
      </c>
      <c r="E44" s="225"/>
      <c r="F44" s="27">
        <v>1</v>
      </c>
      <c r="G44" s="24"/>
      <c r="H44" s="24">
        <v>4.5999999999999996</v>
      </c>
      <c r="I44" s="24">
        <v>4.0999999999999996</v>
      </c>
      <c r="J44" s="24">
        <v>0.04</v>
      </c>
      <c r="K44" s="24">
        <v>0.01</v>
      </c>
      <c r="L44" s="22">
        <v>0.02</v>
      </c>
      <c r="M44" s="22">
        <v>0.04</v>
      </c>
      <c r="N44" s="197"/>
      <c r="O44" s="22">
        <v>4.38</v>
      </c>
      <c r="P44" s="197"/>
      <c r="Q44" s="21">
        <v>10.38</v>
      </c>
      <c r="R44" s="30">
        <v>0.16</v>
      </c>
      <c r="S44" s="111">
        <v>0.03</v>
      </c>
      <c r="T44" s="111">
        <v>0.3</v>
      </c>
    </row>
    <row r="45" spans="1:20" ht="15">
      <c r="A45" s="2" t="s">
        <v>145</v>
      </c>
      <c r="B45" s="5"/>
      <c r="C45" s="5"/>
      <c r="D45" s="5"/>
      <c r="E45" s="5"/>
      <c r="F45" s="5"/>
      <c r="G45" s="5"/>
      <c r="H45" s="5"/>
      <c r="I45" s="5"/>
      <c r="J45" s="5"/>
      <c r="K45" s="5"/>
      <c r="L45" s="5"/>
      <c r="M45" s="5"/>
      <c r="N45" s="5"/>
      <c r="O45" s="5"/>
      <c r="P45" s="5"/>
      <c r="Q45" s="5"/>
      <c r="R45" s="3"/>
    </row>
    <row r="46" spans="1:20" ht="15">
      <c r="A46" s="2"/>
      <c r="B46" s="5"/>
      <c r="C46" s="5"/>
      <c r="D46" s="5"/>
      <c r="E46" s="5"/>
      <c r="F46" s="5"/>
      <c r="G46" s="5"/>
      <c r="H46" s="5"/>
      <c r="I46" s="5"/>
      <c r="J46" s="5"/>
      <c r="K46" s="5"/>
      <c r="L46" s="5"/>
      <c r="M46" s="5"/>
      <c r="N46" s="5"/>
      <c r="O46" s="5"/>
      <c r="P46" s="5"/>
      <c r="Q46" s="5"/>
      <c r="R46" s="3"/>
    </row>
    <row r="47" spans="1:20" ht="15">
      <c r="A47" s="14"/>
      <c r="B47" s="5"/>
      <c r="C47" s="5"/>
      <c r="D47" s="5"/>
      <c r="E47" s="5"/>
      <c r="F47" s="5"/>
      <c r="G47" s="5"/>
      <c r="H47" s="5"/>
      <c r="I47" s="5"/>
      <c r="J47" s="5"/>
      <c r="K47" s="5"/>
      <c r="L47" s="5"/>
      <c r="M47" s="5"/>
      <c r="N47" s="5"/>
      <c r="O47" s="5"/>
      <c r="P47" s="5"/>
      <c r="Q47" s="5"/>
      <c r="R47" s="3"/>
    </row>
    <row r="48" spans="1:20" ht="15.75" customHeight="1">
      <c r="A48" s="102"/>
      <c r="B48" s="103"/>
      <c r="C48" s="102"/>
      <c r="D48" s="102"/>
      <c r="E48" s="102"/>
      <c r="F48" s="104"/>
      <c r="G48" s="104"/>
      <c r="H48" s="105"/>
      <c r="I48" s="105"/>
      <c r="J48" s="105"/>
      <c r="K48" s="105"/>
      <c r="L48" s="105"/>
      <c r="M48" s="105"/>
      <c r="N48" s="23"/>
      <c r="O48" s="106"/>
      <c r="P48" s="106"/>
      <c r="Q48" s="23"/>
      <c r="R48" s="3"/>
    </row>
    <row r="49" spans="1:18" ht="15.75">
      <c r="A49" s="102"/>
      <c r="B49" s="103"/>
      <c r="C49" s="102"/>
      <c r="D49" s="102"/>
      <c r="E49" s="102"/>
      <c r="F49" s="104"/>
      <c r="G49" s="104"/>
      <c r="H49" s="105"/>
      <c r="I49" s="105"/>
      <c r="J49" s="23"/>
      <c r="K49" s="23"/>
      <c r="L49" s="23"/>
      <c r="M49" s="23"/>
      <c r="N49" s="23"/>
      <c r="O49" s="23"/>
      <c r="P49" s="23"/>
      <c r="Q49" s="23"/>
      <c r="R49" s="3"/>
    </row>
    <row r="50" spans="1:18" ht="15.75">
      <c r="A50" s="102"/>
      <c r="B50" s="103"/>
      <c r="C50" s="102"/>
      <c r="D50" s="102"/>
      <c r="E50" s="102"/>
      <c r="F50" s="104"/>
      <c r="G50" s="104"/>
      <c r="H50" s="23"/>
      <c r="I50" s="23"/>
      <c r="J50" s="106"/>
      <c r="K50" s="106"/>
      <c r="L50" s="106"/>
      <c r="M50" s="106"/>
      <c r="N50" s="106"/>
      <c r="O50" s="106"/>
      <c r="P50" s="106"/>
      <c r="Q50" s="106"/>
      <c r="R50" s="3"/>
    </row>
    <row r="51" spans="1:18" ht="22.5" customHeight="1">
      <c r="A51" s="18"/>
      <c r="B51" s="18"/>
      <c r="C51" s="19"/>
      <c r="D51" s="5"/>
      <c r="E51" s="4"/>
      <c r="F51" s="4"/>
      <c r="G51" s="95"/>
      <c r="H51" s="95"/>
      <c r="I51" s="95"/>
      <c r="J51" s="96"/>
      <c r="K51" s="95"/>
      <c r="L51" s="20"/>
      <c r="M51" s="20"/>
      <c r="N51" s="20"/>
      <c r="O51" s="97"/>
      <c r="P51" s="20"/>
      <c r="Q51" s="96"/>
      <c r="R51" s="25"/>
    </row>
    <row r="52" spans="1:18" ht="22.5" customHeight="1">
      <c r="A52" s="18"/>
      <c r="B52" s="18"/>
      <c r="C52" s="19"/>
      <c r="D52" s="5"/>
      <c r="E52" s="4"/>
      <c r="F52" s="4"/>
      <c r="G52" s="95"/>
      <c r="H52" s="95"/>
      <c r="I52" s="95"/>
      <c r="J52" s="96"/>
      <c r="K52" s="95"/>
      <c r="L52" s="20"/>
      <c r="M52" s="98"/>
      <c r="N52" s="98"/>
      <c r="O52" s="97"/>
      <c r="P52" s="20"/>
      <c r="Q52" s="96"/>
      <c r="R52" s="25"/>
    </row>
    <row r="53" spans="1:18" ht="22.5" customHeight="1">
      <c r="A53" s="18"/>
      <c r="B53" s="18"/>
      <c r="C53" s="19"/>
      <c r="D53" s="5"/>
      <c r="E53" s="107"/>
      <c r="F53" s="4"/>
      <c r="G53" s="95"/>
      <c r="H53" s="95"/>
      <c r="I53" s="95"/>
      <c r="J53" s="96"/>
      <c r="K53" s="95"/>
      <c r="L53" s="20"/>
      <c r="M53" s="20"/>
      <c r="N53" s="20"/>
      <c r="O53" s="97"/>
      <c r="P53" s="20"/>
      <c r="Q53" s="96"/>
      <c r="R53" s="5"/>
    </row>
    <row r="54" spans="1:18" ht="22.5" customHeight="1">
      <c r="A54" s="18"/>
      <c r="B54" s="18"/>
      <c r="C54" s="19"/>
      <c r="D54" s="5"/>
      <c r="E54" s="107"/>
      <c r="F54" s="4"/>
      <c r="G54" s="95"/>
      <c r="H54" s="95"/>
      <c r="I54" s="95"/>
      <c r="J54" s="96"/>
      <c r="K54" s="95"/>
      <c r="L54" s="20"/>
      <c r="M54" s="99"/>
      <c r="N54" s="99"/>
      <c r="O54" s="97"/>
      <c r="P54" s="20"/>
      <c r="Q54" s="96"/>
      <c r="R54" s="5"/>
    </row>
    <row r="55" spans="1:18" ht="15">
      <c r="A55" s="100"/>
      <c r="B55" s="101"/>
      <c r="C55" s="101"/>
      <c r="D55" s="101"/>
      <c r="E55" s="101"/>
      <c r="F55" s="101"/>
      <c r="G55" s="101"/>
      <c r="H55" s="101"/>
      <c r="I55" s="101"/>
      <c r="J55" s="101"/>
      <c r="K55" s="101"/>
      <c r="L55" s="101"/>
      <c r="M55" s="101"/>
      <c r="N55" s="101"/>
      <c r="O55" s="101"/>
      <c r="P55" s="101"/>
      <c r="Q55" s="101"/>
    </row>
  </sheetData>
  <mergeCells count="42">
    <mergeCell ref="A37:A44"/>
    <mergeCell ref="B37:B44"/>
    <mergeCell ref="C37:C44"/>
    <mergeCell ref="E37:E40"/>
    <mergeCell ref="E41:E44"/>
    <mergeCell ref="T26:T27"/>
    <mergeCell ref="J28:Q28"/>
    <mergeCell ref="R28:S28"/>
    <mergeCell ref="A29:A36"/>
    <mergeCell ref="B29:B36"/>
    <mergeCell ref="C29:C36"/>
    <mergeCell ref="E29:E32"/>
    <mergeCell ref="E33:E36"/>
    <mergeCell ref="A26:A28"/>
    <mergeCell ref="B26:B28"/>
    <mergeCell ref="C26:C28"/>
    <mergeCell ref="D26:D28"/>
    <mergeCell ref="F26:F28"/>
    <mergeCell ref="G26:G28"/>
    <mergeCell ref="H26:I27"/>
    <mergeCell ref="N29:N44"/>
    <mergeCell ref="R8:S8"/>
    <mergeCell ref="E9:E13"/>
    <mergeCell ref="E14:E18"/>
    <mergeCell ref="E26:E27"/>
    <mergeCell ref="G6:G8"/>
    <mergeCell ref="H6:I7"/>
    <mergeCell ref="J6:M6"/>
    <mergeCell ref="O6:P6"/>
    <mergeCell ref="J8:Q8"/>
    <mergeCell ref="O26:P26"/>
    <mergeCell ref="A9:A18"/>
    <mergeCell ref="B9:B18"/>
    <mergeCell ref="C9:C18"/>
    <mergeCell ref="A6:A8"/>
    <mergeCell ref="B6:B8"/>
    <mergeCell ref="C6:C8"/>
    <mergeCell ref="P29:P44"/>
    <mergeCell ref="D6:D8"/>
    <mergeCell ref="E6:E7"/>
    <mergeCell ref="F6:F8"/>
    <mergeCell ref="J26:M26"/>
  </mergeCells>
  <phoneticPr fontId="5"/>
  <pageMargins left="0.7" right="0.7" top="0.75" bottom="0.75" header="0.3" footer="0.3"/>
  <pageSetup paperSize="9"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Q66"/>
  <sheetViews>
    <sheetView view="pageBreakPreview" topLeftCell="A22" zoomScale="70" zoomScaleNormal="60" zoomScaleSheetLayoutView="70" workbookViewId="0"/>
  </sheetViews>
  <sheetFormatPr defaultRowHeight="14.25"/>
  <cols>
    <col min="1" max="1" width="12.625" customWidth="1"/>
    <col min="2" max="2" width="9.875" customWidth="1"/>
    <col min="7" max="7" width="0" hidden="1" customWidth="1"/>
    <col min="13" max="13" width="9" customWidth="1"/>
  </cols>
  <sheetData>
    <row r="1" spans="1:17" ht="15">
      <c r="A1" s="13" t="s">
        <v>349</v>
      </c>
      <c r="B1" s="3"/>
      <c r="C1" s="3"/>
      <c r="D1" s="3"/>
      <c r="E1" s="3"/>
      <c r="F1" s="3"/>
      <c r="G1" s="3"/>
      <c r="H1" s="3"/>
      <c r="I1" s="3"/>
      <c r="J1" s="3"/>
      <c r="K1" s="3"/>
      <c r="L1" s="3"/>
      <c r="M1" s="3"/>
      <c r="N1" s="3"/>
      <c r="O1" s="3"/>
      <c r="P1" s="3"/>
      <c r="Q1" s="3"/>
    </row>
    <row r="2" spans="1:17" ht="15">
      <c r="A2" s="188" t="s">
        <v>347</v>
      </c>
      <c r="B2" s="3"/>
      <c r="C2" s="3"/>
      <c r="D2" s="3"/>
      <c r="E2" s="3"/>
      <c r="F2" s="3"/>
      <c r="G2" s="3"/>
      <c r="H2" s="3"/>
      <c r="I2" s="3"/>
      <c r="J2" s="3"/>
      <c r="K2" s="3"/>
      <c r="L2" s="3"/>
      <c r="M2" s="3"/>
      <c r="N2" s="3"/>
      <c r="O2" s="3"/>
      <c r="P2" s="3"/>
      <c r="Q2" s="3"/>
    </row>
    <row r="3" spans="1:17" ht="15">
      <c r="A3" s="2" t="s">
        <v>234</v>
      </c>
      <c r="B3" s="3"/>
      <c r="C3" s="3"/>
      <c r="D3" s="3"/>
      <c r="E3" s="3"/>
      <c r="F3" s="3"/>
      <c r="G3" s="3"/>
      <c r="H3" s="3"/>
      <c r="I3" s="3"/>
      <c r="J3" s="3"/>
      <c r="K3" s="3"/>
      <c r="L3" s="3"/>
      <c r="M3" s="3"/>
      <c r="N3" s="3"/>
      <c r="O3" s="3"/>
      <c r="P3" s="3"/>
      <c r="Q3" s="3"/>
    </row>
    <row r="4" spans="1:17" ht="15">
      <c r="A4" s="2"/>
      <c r="B4" s="3"/>
      <c r="C4" s="3"/>
      <c r="D4" s="3"/>
      <c r="E4" s="3"/>
      <c r="F4" s="3"/>
      <c r="G4" s="3"/>
      <c r="H4" s="3"/>
      <c r="I4" s="3"/>
      <c r="J4" s="3"/>
      <c r="K4" s="3"/>
      <c r="L4" s="3"/>
      <c r="M4" s="3"/>
      <c r="N4" s="3"/>
      <c r="O4" s="3"/>
      <c r="P4" s="3"/>
      <c r="Q4" s="3"/>
    </row>
    <row r="5" spans="1:17" ht="15">
      <c r="A5" s="14" t="s">
        <v>107</v>
      </c>
      <c r="B5" s="3"/>
      <c r="C5" s="3"/>
      <c r="D5" s="3"/>
      <c r="E5" s="3"/>
      <c r="F5" s="3"/>
      <c r="G5" s="3"/>
      <c r="H5" s="3"/>
      <c r="I5" s="3"/>
      <c r="J5" s="3"/>
      <c r="K5" s="3"/>
      <c r="L5" s="3"/>
      <c r="M5" s="3"/>
      <c r="N5" s="3"/>
      <c r="O5" s="3"/>
      <c r="P5" s="3"/>
      <c r="Q5" s="3"/>
    </row>
    <row r="6" spans="1:17" ht="15.75" customHeight="1">
      <c r="A6" s="198" t="s">
        <v>4</v>
      </c>
      <c r="B6" s="215" t="s">
        <v>5</v>
      </c>
      <c r="C6" s="198" t="s">
        <v>6</v>
      </c>
      <c r="D6" s="198" t="s">
        <v>144</v>
      </c>
      <c r="E6" s="198" t="s">
        <v>7</v>
      </c>
      <c r="F6" s="201" t="s">
        <v>8</v>
      </c>
      <c r="G6" s="226" t="s">
        <v>9</v>
      </c>
      <c r="H6" s="203" t="s">
        <v>10</v>
      </c>
      <c r="I6" s="205"/>
      <c r="J6" s="203" t="s">
        <v>11</v>
      </c>
      <c r="K6" s="204"/>
      <c r="L6" s="204"/>
      <c r="M6" s="205"/>
      <c r="N6" s="141" t="s">
        <v>12</v>
      </c>
      <c r="O6" s="231" t="s">
        <v>13</v>
      </c>
      <c r="P6" s="232"/>
      <c r="Q6" s="6" t="s">
        <v>14</v>
      </c>
    </row>
    <row r="7" spans="1:17" ht="15.75">
      <c r="A7" s="199"/>
      <c r="B7" s="216"/>
      <c r="C7" s="199"/>
      <c r="D7" s="199"/>
      <c r="E7" s="199"/>
      <c r="F7" s="202"/>
      <c r="G7" s="227"/>
      <c r="H7" s="229"/>
      <c r="I7" s="230"/>
      <c r="J7" s="7" t="s">
        <v>15</v>
      </c>
      <c r="K7" s="8" t="s">
        <v>16</v>
      </c>
      <c r="L7" s="8" t="s">
        <v>17</v>
      </c>
      <c r="M7" s="9" t="s">
        <v>18</v>
      </c>
      <c r="N7" s="9" t="s">
        <v>19</v>
      </c>
      <c r="O7" s="7" t="s">
        <v>20</v>
      </c>
      <c r="P7" s="9" t="s">
        <v>21</v>
      </c>
      <c r="Q7" s="10" t="s">
        <v>22</v>
      </c>
    </row>
    <row r="8" spans="1:17" ht="20.25">
      <c r="A8" s="200"/>
      <c r="B8" s="217"/>
      <c r="C8" s="200"/>
      <c r="D8" s="200"/>
      <c r="E8" s="10" t="s">
        <v>23</v>
      </c>
      <c r="F8" s="202"/>
      <c r="G8" s="228"/>
      <c r="H8" s="31" t="s">
        <v>24</v>
      </c>
      <c r="I8" s="31" t="s">
        <v>25</v>
      </c>
      <c r="J8" s="218" t="s">
        <v>26</v>
      </c>
      <c r="K8" s="219"/>
      <c r="L8" s="219"/>
      <c r="M8" s="219"/>
      <c r="N8" s="219"/>
      <c r="O8" s="219"/>
      <c r="P8" s="219"/>
      <c r="Q8" s="233"/>
    </row>
    <row r="9" spans="1:17" ht="22.5" customHeight="1">
      <c r="A9" s="209" t="s">
        <v>367</v>
      </c>
      <c r="B9" s="209" t="s">
        <v>230</v>
      </c>
      <c r="C9" s="212">
        <v>1</v>
      </c>
      <c r="D9" s="27">
        <v>1</v>
      </c>
      <c r="E9" s="220" t="s">
        <v>98</v>
      </c>
      <c r="F9" s="27">
        <v>1</v>
      </c>
      <c r="G9" s="21"/>
      <c r="H9" s="21">
        <v>6.41</v>
      </c>
      <c r="I9" s="21">
        <v>5.72</v>
      </c>
      <c r="J9" s="234" t="s">
        <v>233</v>
      </c>
      <c r="K9" s="234" t="s">
        <v>232</v>
      </c>
      <c r="L9" s="234" t="s">
        <v>232</v>
      </c>
      <c r="M9" s="234" t="s">
        <v>232</v>
      </c>
      <c r="N9" s="234" t="s">
        <v>232</v>
      </c>
      <c r="O9" s="234" t="s">
        <v>232</v>
      </c>
      <c r="P9" s="234" t="s">
        <v>232</v>
      </c>
      <c r="Q9" s="234" t="s">
        <v>232</v>
      </c>
    </row>
    <row r="10" spans="1:17" ht="22.5" customHeight="1">
      <c r="A10" s="210"/>
      <c r="B10" s="210"/>
      <c r="C10" s="213"/>
      <c r="D10" s="27">
        <v>2</v>
      </c>
      <c r="E10" s="221"/>
      <c r="F10" s="27">
        <v>1</v>
      </c>
      <c r="G10" s="21"/>
      <c r="H10" s="21">
        <v>6.46</v>
      </c>
      <c r="I10" s="21">
        <v>5.64</v>
      </c>
      <c r="J10" s="235"/>
      <c r="K10" s="235"/>
      <c r="L10" s="235"/>
      <c r="M10" s="235"/>
      <c r="N10" s="235"/>
      <c r="O10" s="235"/>
      <c r="P10" s="235"/>
      <c r="Q10" s="235"/>
    </row>
    <row r="11" spans="1:17" ht="22.5" customHeight="1">
      <c r="A11" s="210"/>
      <c r="B11" s="210"/>
      <c r="C11" s="213"/>
      <c r="D11" s="27">
        <v>3</v>
      </c>
      <c r="E11" s="221"/>
      <c r="F11" s="27">
        <v>1</v>
      </c>
      <c r="G11" s="21"/>
      <c r="H11" s="21">
        <v>6.46</v>
      </c>
      <c r="I11" s="21">
        <v>5.6</v>
      </c>
      <c r="J11" s="235"/>
      <c r="K11" s="235"/>
      <c r="L11" s="235"/>
      <c r="M11" s="235"/>
      <c r="N11" s="235"/>
      <c r="O11" s="235"/>
      <c r="P11" s="235"/>
      <c r="Q11" s="235"/>
    </row>
    <row r="12" spans="1:17" ht="22.5" customHeight="1">
      <c r="A12" s="210"/>
      <c r="B12" s="210"/>
      <c r="C12" s="213"/>
      <c r="D12" s="27">
        <v>4</v>
      </c>
      <c r="E12" s="221"/>
      <c r="F12" s="27">
        <v>1</v>
      </c>
      <c r="G12" s="21"/>
      <c r="H12" s="21">
        <v>5.81</v>
      </c>
      <c r="I12" s="21">
        <v>4.97</v>
      </c>
      <c r="J12" s="235"/>
      <c r="K12" s="235"/>
      <c r="L12" s="235"/>
      <c r="M12" s="235"/>
      <c r="N12" s="235"/>
      <c r="O12" s="235"/>
      <c r="P12" s="235"/>
      <c r="Q12" s="235"/>
    </row>
    <row r="13" spans="1:17" ht="22.5" customHeight="1">
      <c r="A13" s="210"/>
      <c r="B13" s="210"/>
      <c r="C13" s="213"/>
      <c r="D13" s="27">
        <v>5</v>
      </c>
      <c r="E13" s="222"/>
      <c r="F13" s="27">
        <v>1</v>
      </c>
      <c r="G13" s="21"/>
      <c r="H13" s="21">
        <v>6.57</v>
      </c>
      <c r="I13" s="21">
        <v>5.58</v>
      </c>
      <c r="J13" s="235"/>
      <c r="K13" s="235"/>
      <c r="L13" s="235"/>
      <c r="M13" s="235"/>
      <c r="N13" s="235"/>
      <c r="O13" s="235"/>
      <c r="P13" s="235"/>
      <c r="Q13" s="235"/>
    </row>
    <row r="14" spans="1:17" ht="22.5" customHeight="1">
      <c r="A14" s="210"/>
      <c r="B14" s="210"/>
      <c r="C14" s="213"/>
      <c r="D14" s="27">
        <v>1</v>
      </c>
      <c r="E14" s="223" t="s">
        <v>27</v>
      </c>
      <c r="F14" s="27">
        <v>1</v>
      </c>
      <c r="G14" s="21"/>
      <c r="H14" s="21">
        <v>6.52</v>
      </c>
      <c r="I14" s="21">
        <v>5.43</v>
      </c>
      <c r="J14" s="235"/>
      <c r="K14" s="235"/>
      <c r="L14" s="235"/>
      <c r="M14" s="235"/>
      <c r="N14" s="235"/>
      <c r="O14" s="235"/>
      <c r="P14" s="235"/>
      <c r="Q14" s="235"/>
    </row>
    <row r="15" spans="1:17" ht="22.5" customHeight="1">
      <c r="A15" s="210"/>
      <c r="B15" s="210"/>
      <c r="C15" s="213"/>
      <c r="D15" s="27">
        <v>2</v>
      </c>
      <c r="E15" s="224"/>
      <c r="F15" s="27">
        <v>1</v>
      </c>
      <c r="G15" s="21"/>
      <c r="H15" s="21">
        <v>6.62</v>
      </c>
      <c r="I15" s="21">
        <v>5.5</v>
      </c>
      <c r="J15" s="235"/>
      <c r="K15" s="235"/>
      <c r="L15" s="235"/>
      <c r="M15" s="235"/>
      <c r="N15" s="235"/>
      <c r="O15" s="235"/>
      <c r="P15" s="235"/>
      <c r="Q15" s="235"/>
    </row>
    <row r="16" spans="1:17" ht="22.5" customHeight="1">
      <c r="A16" s="210"/>
      <c r="B16" s="210"/>
      <c r="C16" s="213"/>
      <c r="D16" s="27">
        <v>3</v>
      </c>
      <c r="E16" s="224"/>
      <c r="F16" s="27">
        <v>1</v>
      </c>
      <c r="G16" s="21"/>
      <c r="H16" s="21">
        <v>6.42</v>
      </c>
      <c r="I16" s="21">
        <v>5.33</v>
      </c>
      <c r="J16" s="235"/>
      <c r="K16" s="235"/>
      <c r="L16" s="235"/>
      <c r="M16" s="235"/>
      <c r="N16" s="235"/>
      <c r="O16" s="235"/>
      <c r="P16" s="235"/>
      <c r="Q16" s="235"/>
    </row>
    <row r="17" spans="1:17" ht="22.5" customHeight="1">
      <c r="A17" s="210"/>
      <c r="B17" s="210"/>
      <c r="C17" s="213"/>
      <c r="D17" s="27">
        <v>4</v>
      </c>
      <c r="E17" s="224"/>
      <c r="F17" s="27">
        <v>1</v>
      </c>
      <c r="G17" s="24"/>
      <c r="H17" s="24">
        <v>5.86</v>
      </c>
      <c r="I17" s="24">
        <v>5.04</v>
      </c>
      <c r="J17" s="235"/>
      <c r="K17" s="235"/>
      <c r="L17" s="235"/>
      <c r="M17" s="235"/>
      <c r="N17" s="235"/>
      <c r="O17" s="235"/>
      <c r="P17" s="235"/>
      <c r="Q17" s="235"/>
    </row>
    <row r="18" spans="1:17" ht="22.5" customHeight="1">
      <c r="A18" s="211"/>
      <c r="B18" s="211"/>
      <c r="C18" s="214"/>
      <c r="D18" s="27">
        <v>5</v>
      </c>
      <c r="E18" s="225"/>
      <c r="F18" s="27">
        <v>1</v>
      </c>
      <c r="G18" s="24"/>
      <c r="H18" s="24">
        <v>6.55</v>
      </c>
      <c r="I18" s="24">
        <v>5.57</v>
      </c>
      <c r="J18" s="236"/>
      <c r="K18" s="236"/>
      <c r="L18" s="236"/>
      <c r="M18" s="236"/>
      <c r="N18" s="236"/>
      <c r="O18" s="236"/>
      <c r="P18" s="236"/>
      <c r="Q18" s="236"/>
    </row>
    <row r="19" spans="1:17" ht="22.5" customHeight="1">
      <c r="A19" s="209" t="s">
        <v>231</v>
      </c>
      <c r="B19" s="209" t="s">
        <v>230</v>
      </c>
      <c r="C19" s="212">
        <v>2</v>
      </c>
      <c r="D19" s="27">
        <v>1</v>
      </c>
      <c r="E19" s="220" t="s">
        <v>98</v>
      </c>
      <c r="F19" s="27">
        <v>1</v>
      </c>
      <c r="G19" s="21"/>
      <c r="H19" s="21">
        <v>6.7</v>
      </c>
      <c r="I19" s="21">
        <v>5.98</v>
      </c>
      <c r="J19" s="234" t="s">
        <v>232</v>
      </c>
      <c r="K19" s="234" t="s">
        <v>232</v>
      </c>
      <c r="L19" s="234" t="s">
        <v>232</v>
      </c>
      <c r="M19" s="234" t="s">
        <v>232</v>
      </c>
      <c r="N19" s="234" t="s">
        <v>232</v>
      </c>
      <c r="O19" s="234" t="s">
        <v>232</v>
      </c>
      <c r="P19" s="234" t="s">
        <v>232</v>
      </c>
      <c r="Q19" s="234" t="s">
        <v>232</v>
      </c>
    </row>
    <row r="20" spans="1:17" ht="22.5" customHeight="1">
      <c r="A20" s="210"/>
      <c r="B20" s="210"/>
      <c r="C20" s="213"/>
      <c r="D20" s="27">
        <v>2</v>
      </c>
      <c r="E20" s="221"/>
      <c r="F20" s="27">
        <v>1</v>
      </c>
      <c r="G20" s="21"/>
      <c r="H20" s="21">
        <v>6.83</v>
      </c>
      <c r="I20" s="21">
        <v>6.23</v>
      </c>
      <c r="J20" s="235"/>
      <c r="K20" s="235"/>
      <c r="L20" s="235"/>
      <c r="M20" s="235"/>
      <c r="N20" s="235"/>
      <c r="O20" s="235"/>
      <c r="P20" s="235"/>
      <c r="Q20" s="235"/>
    </row>
    <row r="21" spans="1:17" ht="22.5" customHeight="1">
      <c r="A21" s="210"/>
      <c r="B21" s="210"/>
      <c r="C21" s="213"/>
      <c r="D21" s="27">
        <v>3</v>
      </c>
      <c r="E21" s="221"/>
      <c r="F21" s="27">
        <v>1</v>
      </c>
      <c r="G21" s="21"/>
      <c r="H21" s="21">
        <v>6.57</v>
      </c>
      <c r="I21" s="21">
        <v>6.31</v>
      </c>
      <c r="J21" s="235"/>
      <c r="K21" s="235"/>
      <c r="L21" s="235"/>
      <c r="M21" s="235"/>
      <c r="N21" s="235"/>
      <c r="O21" s="235"/>
      <c r="P21" s="235"/>
      <c r="Q21" s="235"/>
    </row>
    <row r="22" spans="1:17" ht="22.5" customHeight="1">
      <c r="A22" s="210"/>
      <c r="B22" s="210"/>
      <c r="C22" s="213"/>
      <c r="D22" s="27">
        <v>4</v>
      </c>
      <c r="E22" s="221"/>
      <c r="F22" s="27">
        <v>1</v>
      </c>
      <c r="G22" s="21"/>
      <c r="H22" s="21">
        <v>6.88</v>
      </c>
      <c r="I22" s="21">
        <v>6.25</v>
      </c>
      <c r="J22" s="235"/>
      <c r="K22" s="235"/>
      <c r="L22" s="235"/>
      <c r="M22" s="235"/>
      <c r="N22" s="235"/>
      <c r="O22" s="235"/>
      <c r="P22" s="235"/>
      <c r="Q22" s="235"/>
    </row>
    <row r="23" spans="1:17" ht="22.5" customHeight="1">
      <c r="A23" s="210"/>
      <c r="B23" s="210"/>
      <c r="C23" s="213"/>
      <c r="D23" s="27">
        <v>5</v>
      </c>
      <c r="E23" s="222"/>
      <c r="F23" s="27">
        <v>1</v>
      </c>
      <c r="G23" s="21"/>
      <c r="H23" s="21">
        <v>7.08</v>
      </c>
      <c r="I23" s="21">
        <v>6.6</v>
      </c>
      <c r="J23" s="235"/>
      <c r="K23" s="235"/>
      <c r="L23" s="235"/>
      <c r="M23" s="235"/>
      <c r="N23" s="235"/>
      <c r="O23" s="235"/>
      <c r="P23" s="235"/>
      <c r="Q23" s="235"/>
    </row>
    <row r="24" spans="1:17" ht="22.5" customHeight="1">
      <c r="A24" s="210"/>
      <c r="B24" s="210"/>
      <c r="C24" s="213"/>
      <c r="D24" s="27">
        <v>1</v>
      </c>
      <c r="E24" s="223" t="s">
        <v>27</v>
      </c>
      <c r="F24" s="27">
        <v>1</v>
      </c>
      <c r="G24" s="21"/>
      <c r="H24" s="21">
        <v>7</v>
      </c>
      <c r="I24" s="21">
        <v>6.33</v>
      </c>
      <c r="J24" s="235"/>
      <c r="K24" s="235"/>
      <c r="L24" s="235"/>
      <c r="M24" s="235"/>
      <c r="N24" s="235"/>
      <c r="O24" s="235"/>
      <c r="P24" s="235"/>
      <c r="Q24" s="235"/>
    </row>
    <row r="25" spans="1:17" ht="22.5" customHeight="1">
      <c r="A25" s="210"/>
      <c r="B25" s="210"/>
      <c r="C25" s="213"/>
      <c r="D25" s="27">
        <v>2</v>
      </c>
      <c r="E25" s="224"/>
      <c r="F25" s="27">
        <v>1</v>
      </c>
      <c r="G25" s="21"/>
      <c r="H25" s="21">
        <v>6.47</v>
      </c>
      <c r="I25" s="21">
        <v>6.26</v>
      </c>
      <c r="J25" s="235"/>
      <c r="K25" s="235"/>
      <c r="L25" s="235"/>
      <c r="M25" s="235"/>
      <c r="N25" s="235"/>
      <c r="O25" s="235"/>
      <c r="P25" s="235"/>
      <c r="Q25" s="235"/>
    </row>
    <row r="26" spans="1:17" ht="22.5" customHeight="1">
      <c r="A26" s="210"/>
      <c r="B26" s="210"/>
      <c r="C26" s="213"/>
      <c r="D26" s="27">
        <v>3</v>
      </c>
      <c r="E26" s="224"/>
      <c r="F26" s="27">
        <v>1</v>
      </c>
      <c r="G26" s="21"/>
      <c r="H26" s="21">
        <v>7</v>
      </c>
      <c r="I26" s="21">
        <v>6.32</v>
      </c>
      <c r="J26" s="235"/>
      <c r="K26" s="235"/>
      <c r="L26" s="235"/>
      <c r="M26" s="235"/>
      <c r="N26" s="235"/>
      <c r="O26" s="235"/>
      <c r="P26" s="235"/>
      <c r="Q26" s="235"/>
    </row>
    <row r="27" spans="1:17" ht="22.5" customHeight="1">
      <c r="A27" s="210"/>
      <c r="B27" s="210"/>
      <c r="C27" s="213"/>
      <c r="D27" s="27">
        <v>4</v>
      </c>
      <c r="E27" s="224"/>
      <c r="F27" s="27">
        <v>1</v>
      </c>
      <c r="G27" s="24"/>
      <c r="H27" s="24">
        <v>7.16</v>
      </c>
      <c r="I27" s="24">
        <v>5.77</v>
      </c>
      <c r="J27" s="235"/>
      <c r="K27" s="235"/>
      <c r="L27" s="235"/>
      <c r="M27" s="235"/>
      <c r="N27" s="235"/>
      <c r="O27" s="235"/>
      <c r="P27" s="235"/>
      <c r="Q27" s="235"/>
    </row>
    <row r="28" spans="1:17" ht="22.5" customHeight="1">
      <c r="A28" s="211"/>
      <c r="B28" s="211"/>
      <c r="C28" s="214"/>
      <c r="D28" s="27">
        <v>5</v>
      </c>
      <c r="E28" s="225"/>
      <c r="F28" s="27">
        <v>1</v>
      </c>
      <c r="G28" s="24"/>
      <c r="H28" s="24">
        <v>7.23</v>
      </c>
      <c r="I28" s="24">
        <v>6.44</v>
      </c>
      <c r="J28" s="236"/>
      <c r="K28" s="236"/>
      <c r="L28" s="236"/>
      <c r="M28" s="236"/>
      <c r="N28" s="236"/>
      <c r="O28" s="236"/>
      <c r="P28" s="236"/>
      <c r="Q28" s="236"/>
    </row>
    <row r="29" spans="1:17" ht="15" customHeight="1">
      <c r="A29" s="237" t="s">
        <v>236</v>
      </c>
      <c r="B29" s="237"/>
      <c r="C29" s="237"/>
      <c r="D29" s="237"/>
      <c r="E29" s="237"/>
      <c r="F29" s="237"/>
      <c r="G29" s="237"/>
      <c r="H29" s="237"/>
      <c r="I29" s="237"/>
      <c r="J29" s="237"/>
      <c r="K29" s="237"/>
      <c r="L29" s="237"/>
      <c r="M29" s="237"/>
      <c r="N29" s="237"/>
      <c r="O29" s="237"/>
      <c r="P29" s="237"/>
      <c r="Q29" s="237"/>
    </row>
    <row r="30" spans="1:17" ht="15.75" customHeight="1">
      <c r="A30" s="238"/>
      <c r="B30" s="238"/>
      <c r="C30" s="238"/>
      <c r="D30" s="238"/>
      <c r="E30" s="238"/>
      <c r="F30" s="238"/>
      <c r="G30" s="238"/>
      <c r="H30" s="238"/>
      <c r="I30" s="238"/>
      <c r="J30" s="238"/>
      <c r="K30" s="238"/>
      <c r="L30" s="238"/>
      <c r="M30" s="238"/>
      <c r="N30" s="238"/>
      <c r="O30" s="238"/>
      <c r="P30" s="238"/>
      <c r="Q30" s="238"/>
    </row>
    <row r="31" spans="1:17" ht="15">
      <c r="A31" s="14"/>
      <c r="B31" s="18"/>
      <c r="C31" s="19"/>
      <c r="D31" s="15"/>
      <c r="E31" s="5"/>
      <c r="F31" s="5"/>
      <c r="G31" s="5"/>
      <c r="H31" s="5"/>
      <c r="I31" s="11"/>
      <c r="J31" s="12"/>
      <c r="K31" s="5"/>
      <c r="L31" s="5"/>
      <c r="M31" s="5"/>
      <c r="N31" s="5"/>
      <c r="O31" s="5"/>
      <c r="P31" s="5"/>
      <c r="Q31" s="5"/>
    </row>
    <row r="32" spans="1:17" ht="15">
      <c r="A32" s="13" t="s">
        <v>350</v>
      </c>
      <c r="B32" s="3"/>
      <c r="C32" s="3"/>
      <c r="D32" s="3"/>
      <c r="E32" s="3"/>
      <c r="F32" s="3"/>
      <c r="G32" s="3"/>
      <c r="H32" s="3"/>
      <c r="I32" s="3"/>
      <c r="J32" s="3"/>
      <c r="K32" s="3"/>
      <c r="L32" s="3"/>
      <c r="M32" s="3"/>
      <c r="N32" s="3"/>
      <c r="O32" s="3"/>
      <c r="P32" s="3"/>
      <c r="Q32" s="3"/>
    </row>
    <row r="33" spans="1:17" ht="15">
      <c r="A33" s="188" t="s">
        <v>348</v>
      </c>
      <c r="B33" s="3"/>
      <c r="C33" s="3"/>
      <c r="D33" s="3"/>
      <c r="E33" s="3"/>
      <c r="F33" s="3"/>
      <c r="G33" s="3"/>
      <c r="H33" s="3"/>
      <c r="I33" s="3"/>
      <c r="J33" s="3"/>
      <c r="K33" s="3"/>
      <c r="L33" s="3"/>
      <c r="M33" s="3"/>
      <c r="N33" s="3"/>
      <c r="O33" s="3"/>
      <c r="P33" s="3"/>
      <c r="Q33" s="3"/>
    </row>
    <row r="34" spans="1:17" ht="15">
      <c r="A34" s="2" t="s">
        <v>234</v>
      </c>
      <c r="B34" s="3"/>
      <c r="C34" s="3"/>
      <c r="D34" s="3"/>
      <c r="E34" s="3"/>
      <c r="F34" s="3"/>
      <c r="G34" s="3"/>
      <c r="H34" s="3"/>
      <c r="I34" s="3"/>
      <c r="J34" s="3"/>
      <c r="K34" s="3"/>
      <c r="L34" s="3"/>
      <c r="M34" s="3"/>
      <c r="N34" s="3"/>
      <c r="O34" s="3"/>
      <c r="P34" s="3"/>
      <c r="Q34" s="3"/>
    </row>
    <row r="35" spans="1:17" ht="15">
      <c r="A35" s="2"/>
      <c r="B35" s="3"/>
      <c r="C35" s="3"/>
      <c r="D35" s="3"/>
      <c r="E35" s="3"/>
      <c r="F35" s="3"/>
      <c r="G35" s="3"/>
      <c r="H35" s="3"/>
      <c r="I35" s="3"/>
      <c r="J35" s="3"/>
      <c r="K35" s="3"/>
      <c r="L35" s="3"/>
      <c r="M35" s="3"/>
      <c r="N35" s="3"/>
      <c r="O35" s="3"/>
      <c r="P35" s="3"/>
      <c r="Q35" s="3"/>
    </row>
    <row r="36" spans="1:17" ht="15">
      <c r="A36" s="14" t="s">
        <v>107</v>
      </c>
      <c r="B36" s="3"/>
      <c r="C36" s="3"/>
      <c r="D36" s="3"/>
      <c r="E36" s="3"/>
      <c r="F36" s="3"/>
      <c r="G36" s="3"/>
      <c r="H36" s="3"/>
      <c r="I36" s="3"/>
      <c r="J36" s="3"/>
      <c r="K36" s="3"/>
      <c r="L36" s="3"/>
      <c r="M36" s="3"/>
      <c r="N36" s="3"/>
      <c r="O36" s="3"/>
      <c r="P36" s="3"/>
      <c r="Q36" s="3"/>
    </row>
    <row r="37" spans="1:17" ht="15.75" customHeight="1">
      <c r="A37" s="198" t="s">
        <v>4</v>
      </c>
      <c r="B37" s="215" t="s">
        <v>5</v>
      </c>
      <c r="C37" s="198" t="s">
        <v>6</v>
      </c>
      <c r="D37" s="198" t="s">
        <v>144</v>
      </c>
      <c r="E37" s="198" t="s">
        <v>7</v>
      </c>
      <c r="F37" s="201" t="s">
        <v>8</v>
      </c>
      <c r="G37" s="226" t="s">
        <v>9</v>
      </c>
      <c r="H37" s="203" t="s">
        <v>10</v>
      </c>
      <c r="I37" s="205"/>
      <c r="J37" s="203" t="s">
        <v>11</v>
      </c>
      <c r="K37" s="204"/>
      <c r="L37" s="204"/>
      <c r="M37" s="205"/>
      <c r="N37" s="141" t="s">
        <v>12</v>
      </c>
      <c r="O37" s="231" t="s">
        <v>13</v>
      </c>
      <c r="P37" s="232"/>
      <c r="Q37" s="6" t="s">
        <v>14</v>
      </c>
    </row>
    <row r="38" spans="1:17" ht="15.75">
      <c r="A38" s="199"/>
      <c r="B38" s="216"/>
      <c r="C38" s="199"/>
      <c r="D38" s="199"/>
      <c r="E38" s="199"/>
      <c r="F38" s="202"/>
      <c r="G38" s="227"/>
      <c r="H38" s="229"/>
      <c r="I38" s="230"/>
      <c r="J38" s="7" t="s">
        <v>15</v>
      </c>
      <c r="K38" s="8" t="s">
        <v>16</v>
      </c>
      <c r="L38" s="8" t="s">
        <v>17</v>
      </c>
      <c r="M38" s="9" t="s">
        <v>18</v>
      </c>
      <c r="N38" s="9" t="s">
        <v>19</v>
      </c>
      <c r="O38" s="7" t="s">
        <v>20</v>
      </c>
      <c r="P38" s="9" t="s">
        <v>21</v>
      </c>
      <c r="Q38" s="10" t="s">
        <v>22</v>
      </c>
    </row>
    <row r="39" spans="1:17" ht="20.25">
      <c r="A39" s="200"/>
      <c r="B39" s="217"/>
      <c r="C39" s="200"/>
      <c r="D39" s="200"/>
      <c r="E39" s="10" t="s">
        <v>23</v>
      </c>
      <c r="F39" s="202"/>
      <c r="G39" s="228"/>
      <c r="H39" s="31" t="s">
        <v>24</v>
      </c>
      <c r="I39" s="31" t="s">
        <v>25</v>
      </c>
      <c r="J39" s="218" t="s">
        <v>26</v>
      </c>
      <c r="K39" s="219"/>
      <c r="L39" s="219"/>
      <c r="M39" s="219"/>
      <c r="N39" s="219"/>
      <c r="O39" s="219"/>
      <c r="P39" s="219"/>
      <c r="Q39" s="233"/>
    </row>
    <row r="40" spans="1:17" ht="22.5" customHeight="1">
      <c r="A40" s="209" t="s">
        <v>368</v>
      </c>
      <c r="B40" s="209" t="s">
        <v>230</v>
      </c>
      <c r="C40" s="212">
        <v>1</v>
      </c>
      <c r="D40" s="27">
        <v>1</v>
      </c>
      <c r="E40" s="220" t="s">
        <v>98</v>
      </c>
      <c r="F40" s="27">
        <v>1</v>
      </c>
      <c r="G40" s="21"/>
      <c r="H40" s="21">
        <v>5.7</v>
      </c>
      <c r="I40" s="21">
        <v>4.91</v>
      </c>
      <c r="J40" s="234" t="s">
        <v>233</v>
      </c>
      <c r="K40" s="234" t="s">
        <v>232</v>
      </c>
      <c r="L40" s="234" t="s">
        <v>232</v>
      </c>
      <c r="M40" s="234" t="s">
        <v>232</v>
      </c>
      <c r="N40" s="234" t="s">
        <v>232</v>
      </c>
      <c r="O40" s="234" t="s">
        <v>232</v>
      </c>
      <c r="P40" s="234" t="s">
        <v>232</v>
      </c>
      <c r="Q40" s="234" t="s">
        <v>232</v>
      </c>
    </row>
    <row r="41" spans="1:17" ht="22.5" customHeight="1">
      <c r="A41" s="210"/>
      <c r="B41" s="210"/>
      <c r="C41" s="213"/>
      <c r="D41" s="27">
        <v>2</v>
      </c>
      <c r="E41" s="221"/>
      <c r="F41" s="27">
        <v>1</v>
      </c>
      <c r="G41" s="21"/>
      <c r="H41" s="21">
        <v>5.71</v>
      </c>
      <c r="I41" s="21">
        <v>4.91</v>
      </c>
      <c r="J41" s="235"/>
      <c r="K41" s="235"/>
      <c r="L41" s="235"/>
      <c r="M41" s="235"/>
      <c r="N41" s="235"/>
      <c r="O41" s="235"/>
      <c r="P41" s="235"/>
      <c r="Q41" s="235"/>
    </row>
    <row r="42" spans="1:17" ht="22.5" customHeight="1">
      <c r="A42" s="210"/>
      <c r="B42" s="210"/>
      <c r="C42" s="213"/>
      <c r="D42" s="27">
        <v>3</v>
      </c>
      <c r="E42" s="221"/>
      <c r="F42" s="27">
        <v>1</v>
      </c>
      <c r="G42" s="21"/>
      <c r="H42" s="21">
        <v>5.54</v>
      </c>
      <c r="I42" s="21">
        <v>4.6900000000000004</v>
      </c>
      <c r="J42" s="235"/>
      <c r="K42" s="235"/>
      <c r="L42" s="235"/>
      <c r="M42" s="235"/>
      <c r="N42" s="235"/>
      <c r="O42" s="235"/>
      <c r="P42" s="235"/>
      <c r="Q42" s="235"/>
    </row>
    <row r="43" spans="1:17" ht="22.5" customHeight="1">
      <c r="A43" s="210"/>
      <c r="B43" s="210"/>
      <c r="C43" s="213"/>
      <c r="D43" s="27">
        <v>4</v>
      </c>
      <c r="E43" s="221"/>
      <c r="F43" s="27">
        <v>1</v>
      </c>
      <c r="G43" s="21"/>
      <c r="H43" s="21">
        <v>5.81</v>
      </c>
      <c r="I43" s="21">
        <v>4.8899999999999997</v>
      </c>
      <c r="J43" s="235"/>
      <c r="K43" s="235"/>
      <c r="L43" s="235"/>
      <c r="M43" s="235"/>
      <c r="N43" s="235"/>
      <c r="O43" s="235"/>
      <c r="P43" s="235"/>
      <c r="Q43" s="235"/>
    </row>
    <row r="44" spans="1:17" ht="22.5" customHeight="1">
      <c r="A44" s="210"/>
      <c r="B44" s="210"/>
      <c r="C44" s="213"/>
      <c r="D44" s="27">
        <v>5</v>
      </c>
      <c r="E44" s="222"/>
      <c r="F44" s="27">
        <v>1</v>
      </c>
      <c r="G44" s="21"/>
      <c r="H44" s="21">
        <v>5.74</v>
      </c>
      <c r="I44" s="21">
        <v>5.28</v>
      </c>
      <c r="J44" s="235"/>
      <c r="K44" s="235"/>
      <c r="L44" s="235"/>
      <c r="M44" s="235"/>
      <c r="N44" s="235"/>
      <c r="O44" s="235"/>
      <c r="P44" s="235"/>
      <c r="Q44" s="235"/>
    </row>
    <row r="45" spans="1:17" ht="22.5" customHeight="1">
      <c r="A45" s="210"/>
      <c r="B45" s="210"/>
      <c r="C45" s="213"/>
      <c r="D45" s="27">
        <v>1</v>
      </c>
      <c r="E45" s="223" t="s">
        <v>27</v>
      </c>
      <c r="F45" s="27">
        <v>1</v>
      </c>
      <c r="G45" s="21"/>
      <c r="H45" s="21">
        <v>5.36</v>
      </c>
      <c r="I45" s="21">
        <v>4.42</v>
      </c>
      <c r="J45" s="235"/>
      <c r="K45" s="235"/>
      <c r="L45" s="235"/>
      <c r="M45" s="235"/>
      <c r="N45" s="235"/>
      <c r="O45" s="235"/>
      <c r="P45" s="235"/>
      <c r="Q45" s="235"/>
    </row>
    <row r="46" spans="1:17" ht="22.5" customHeight="1">
      <c r="A46" s="210"/>
      <c r="B46" s="210"/>
      <c r="C46" s="213"/>
      <c r="D46" s="27">
        <v>2</v>
      </c>
      <c r="E46" s="224"/>
      <c r="F46" s="27">
        <v>1</v>
      </c>
      <c r="G46" s="21"/>
      <c r="H46" s="21">
        <v>5.6</v>
      </c>
      <c r="I46" s="21">
        <v>4.84</v>
      </c>
      <c r="J46" s="235"/>
      <c r="K46" s="235"/>
      <c r="L46" s="235"/>
      <c r="M46" s="235"/>
      <c r="N46" s="235"/>
      <c r="O46" s="235"/>
      <c r="P46" s="235"/>
      <c r="Q46" s="235"/>
    </row>
    <row r="47" spans="1:17" ht="22.5" customHeight="1">
      <c r="A47" s="210"/>
      <c r="B47" s="210"/>
      <c r="C47" s="213"/>
      <c r="D47" s="27">
        <v>3</v>
      </c>
      <c r="E47" s="224"/>
      <c r="F47" s="27">
        <v>1</v>
      </c>
      <c r="G47" s="21"/>
      <c r="H47" s="21">
        <v>5.32</v>
      </c>
      <c r="I47" s="21">
        <v>4.2699999999999996</v>
      </c>
      <c r="J47" s="235"/>
      <c r="K47" s="235"/>
      <c r="L47" s="235"/>
      <c r="M47" s="235"/>
      <c r="N47" s="235"/>
      <c r="O47" s="235"/>
      <c r="P47" s="235"/>
      <c r="Q47" s="235"/>
    </row>
    <row r="48" spans="1:17" ht="22.5" customHeight="1">
      <c r="A48" s="210"/>
      <c r="B48" s="210"/>
      <c r="C48" s="213"/>
      <c r="D48" s="27">
        <v>4</v>
      </c>
      <c r="E48" s="224"/>
      <c r="F48" s="27">
        <v>1</v>
      </c>
      <c r="G48" s="24"/>
      <c r="H48" s="24">
        <v>5.97</v>
      </c>
      <c r="I48" s="24">
        <v>4.9400000000000004</v>
      </c>
      <c r="J48" s="235"/>
      <c r="K48" s="235"/>
      <c r="L48" s="235"/>
      <c r="M48" s="235"/>
      <c r="N48" s="235"/>
      <c r="O48" s="235"/>
      <c r="P48" s="235"/>
      <c r="Q48" s="235"/>
    </row>
    <row r="49" spans="1:17" ht="22.5" customHeight="1">
      <c r="A49" s="211"/>
      <c r="B49" s="211"/>
      <c r="C49" s="214"/>
      <c r="D49" s="27">
        <v>5</v>
      </c>
      <c r="E49" s="225"/>
      <c r="F49" s="27">
        <v>1</v>
      </c>
      <c r="G49" s="24"/>
      <c r="H49" s="24">
        <v>5.97</v>
      </c>
      <c r="I49" s="24">
        <v>4.9800000000000004</v>
      </c>
      <c r="J49" s="236"/>
      <c r="K49" s="236"/>
      <c r="L49" s="236"/>
      <c r="M49" s="236"/>
      <c r="N49" s="236"/>
      <c r="O49" s="236"/>
      <c r="P49" s="236"/>
      <c r="Q49" s="236"/>
    </row>
    <row r="50" spans="1:17" ht="22.5" customHeight="1">
      <c r="A50" s="209" t="s">
        <v>235</v>
      </c>
      <c r="B50" s="209" t="s">
        <v>230</v>
      </c>
      <c r="C50" s="212">
        <v>2</v>
      </c>
      <c r="D50" s="27">
        <v>1</v>
      </c>
      <c r="E50" s="220" t="s">
        <v>98</v>
      </c>
      <c r="F50" s="27">
        <v>1</v>
      </c>
      <c r="G50" s="21"/>
      <c r="H50" s="21">
        <v>5.84</v>
      </c>
      <c r="I50" s="21">
        <v>4.93</v>
      </c>
      <c r="J50" s="234" t="s">
        <v>232</v>
      </c>
      <c r="K50" s="234" t="s">
        <v>232</v>
      </c>
      <c r="L50" s="234" t="s">
        <v>232</v>
      </c>
      <c r="M50" s="234" t="s">
        <v>232</v>
      </c>
      <c r="N50" s="234" t="s">
        <v>232</v>
      </c>
      <c r="O50" s="234" t="s">
        <v>232</v>
      </c>
      <c r="P50" s="234" t="s">
        <v>232</v>
      </c>
      <c r="Q50" s="234" t="s">
        <v>232</v>
      </c>
    </row>
    <row r="51" spans="1:17" ht="22.5" customHeight="1">
      <c r="A51" s="210"/>
      <c r="B51" s="210"/>
      <c r="C51" s="213"/>
      <c r="D51" s="27">
        <v>2</v>
      </c>
      <c r="E51" s="221"/>
      <c r="F51" s="27">
        <v>1</v>
      </c>
      <c r="G51" s="21"/>
      <c r="H51" s="21">
        <v>5.62</v>
      </c>
      <c r="I51" s="21">
        <v>4.72</v>
      </c>
      <c r="J51" s="235"/>
      <c r="K51" s="235"/>
      <c r="L51" s="235"/>
      <c r="M51" s="235"/>
      <c r="N51" s="235"/>
      <c r="O51" s="235"/>
      <c r="P51" s="235"/>
      <c r="Q51" s="235"/>
    </row>
    <row r="52" spans="1:17" ht="22.5" customHeight="1">
      <c r="A52" s="210"/>
      <c r="B52" s="210"/>
      <c r="C52" s="213"/>
      <c r="D52" s="27">
        <v>3</v>
      </c>
      <c r="E52" s="221"/>
      <c r="F52" s="27">
        <v>1</v>
      </c>
      <c r="G52" s="21"/>
      <c r="H52" s="21">
        <v>5.59</v>
      </c>
      <c r="I52" s="21">
        <v>4.5199999999999996</v>
      </c>
      <c r="J52" s="235"/>
      <c r="K52" s="235"/>
      <c r="L52" s="235"/>
      <c r="M52" s="235"/>
      <c r="N52" s="235"/>
      <c r="O52" s="235"/>
      <c r="P52" s="235"/>
      <c r="Q52" s="235"/>
    </row>
    <row r="53" spans="1:17" ht="22.5" customHeight="1">
      <c r="A53" s="210"/>
      <c r="B53" s="210"/>
      <c r="C53" s="213"/>
      <c r="D53" s="27">
        <v>4</v>
      </c>
      <c r="E53" s="221"/>
      <c r="F53" s="27">
        <v>1</v>
      </c>
      <c r="G53" s="21"/>
      <c r="H53" s="21">
        <v>5.75</v>
      </c>
      <c r="I53" s="21">
        <v>4.66</v>
      </c>
      <c r="J53" s="235"/>
      <c r="K53" s="235"/>
      <c r="L53" s="235"/>
      <c r="M53" s="235"/>
      <c r="N53" s="235"/>
      <c r="O53" s="235"/>
      <c r="P53" s="235"/>
      <c r="Q53" s="235"/>
    </row>
    <row r="54" spans="1:17" ht="22.5" customHeight="1">
      <c r="A54" s="210"/>
      <c r="B54" s="210"/>
      <c r="C54" s="213"/>
      <c r="D54" s="27">
        <v>5</v>
      </c>
      <c r="E54" s="222"/>
      <c r="F54" s="27">
        <v>1</v>
      </c>
      <c r="G54" s="21"/>
      <c r="H54" s="21">
        <v>5.53</v>
      </c>
      <c r="I54" s="21">
        <v>4.6900000000000004</v>
      </c>
      <c r="J54" s="235"/>
      <c r="K54" s="235"/>
      <c r="L54" s="235"/>
      <c r="M54" s="235"/>
      <c r="N54" s="235"/>
      <c r="O54" s="235"/>
      <c r="P54" s="235"/>
      <c r="Q54" s="235"/>
    </row>
    <row r="55" spans="1:17" ht="22.5" customHeight="1">
      <c r="A55" s="210"/>
      <c r="B55" s="210"/>
      <c r="C55" s="213"/>
      <c r="D55" s="27">
        <v>1</v>
      </c>
      <c r="E55" s="223" t="s">
        <v>27</v>
      </c>
      <c r="F55" s="27">
        <v>1</v>
      </c>
      <c r="G55" s="21"/>
      <c r="H55" s="21">
        <v>5.77</v>
      </c>
      <c r="I55" s="21">
        <v>4.84</v>
      </c>
      <c r="J55" s="235"/>
      <c r="K55" s="235"/>
      <c r="L55" s="235"/>
      <c r="M55" s="235"/>
      <c r="N55" s="235"/>
      <c r="O55" s="235"/>
      <c r="P55" s="235"/>
      <c r="Q55" s="235"/>
    </row>
    <row r="56" spans="1:17" ht="22.5" customHeight="1">
      <c r="A56" s="210"/>
      <c r="B56" s="210"/>
      <c r="C56" s="213"/>
      <c r="D56" s="27">
        <v>2</v>
      </c>
      <c r="E56" s="224"/>
      <c r="F56" s="27">
        <v>1</v>
      </c>
      <c r="G56" s="21"/>
      <c r="H56" s="21">
        <v>5.63</v>
      </c>
      <c r="I56" s="21">
        <v>4.88</v>
      </c>
      <c r="J56" s="235"/>
      <c r="K56" s="235"/>
      <c r="L56" s="235"/>
      <c r="M56" s="235"/>
      <c r="N56" s="235"/>
      <c r="O56" s="235"/>
      <c r="P56" s="235"/>
      <c r="Q56" s="235"/>
    </row>
    <row r="57" spans="1:17" ht="22.5" customHeight="1">
      <c r="A57" s="210"/>
      <c r="B57" s="210"/>
      <c r="C57" s="213"/>
      <c r="D57" s="27">
        <v>3</v>
      </c>
      <c r="E57" s="224"/>
      <c r="F57" s="27">
        <v>1</v>
      </c>
      <c r="G57" s="21"/>
      <c r="H57" s="21">
        <v>5.5</v>
      </c>
      <c r="I57" s="21">
        <v>4.53</v>
      </c>
      <c r="J57" s="235"/>
      <c r="K57" s="235"/>
      <c r="L57" s="235"/>
      <c r="M57" s="235"/>
      <c r="N57" s="235"/>
      <c r="O57" s="235"/>
      <c r="P57" s="235"/>
      <c r="Q57" s="235"/>
    </row>
    <row r="58" spans="1:17" ht="22.5" customHeight="1">
      <c r="A58" s="210"/>
      <c r="B58" s="210"/>
      <c r="C58" s="213"/>
      <c r="D58" s="27">
        <v>4</v>
      </c>
      <c r="E58" s="224"/>
      <c r="F58" s="27">
        <v>1</v>
      </c>
      <c r="G58" s="24"/>
      <c r="H58" s="24">
        <v>5.64</v>
      </c>
      <c r="I58" s="24">
        <v>4.84</v>
      </c>
      <c r="J58" s="235"/>
      <c r="K58" s="235"/>
      <c r="L58" s="235"/>
      <c r="M58" s="235"/>
      <c r="N58" s="235"/>
      <c r="O58" s="235"/>
      <c r="P58" s="235"/>
      <c r="Q58" s="235"/>
    </row>
    <row r="59" spans="1:17" ht="22.5" customHeight="1">
      <c r="A59" s="211"/>
      <c r="B59" s="211"/>
      <c r="C59" s="214"/>
      <c r="D59" s="27">
        <v>5</v>
      </c>
      <c r="E59" s="225"/>
      <c r="F59" s="27">
        <v>1</v>
      </c>
      <c r="G59" s="24"/>
      <c r="H59" s="24">
        <v>5.57</v>
      </c>
      <c r="I59" s="24">
        <v>4.72</v>
      </c>
      <c r="J59" s="236"/>
      <c r="K59" s="236"/>
      <c r="L59" s="236"/>
      <c r="M59" s="236"/>
      <c r="N59" s="236"/>
      <c r="O59" s="236"/>
      <c r="P59" s="236"/>
      <c r="Q59" s="236"/>
    </row>
    <row r="60" spans="1:17">
      <c r="A60" s="237" t="s">
        <v>236</v>
      </c>
      <c r="B60" s="237"/>
      <c r="C60" s="237"/>
      <c r="D60" s="237"/>
      <c r="E60" s="237"/>
      <c r="F60" s="237"/>
      <c r="G60" s="237"/>
      <c r="H60" s="237"/>
      <c r="I60" s="237"/>
      <c r="J60" s="237"/>
      <c r="K60" s="237"/>
      <c r="L60" s="237"/>
      <c r="M60" s="237"/>
      <c r="N60" s="237"/>
      <c r="O60" s="237"/>
      <c r="P60" s="237"/>
      <c r="Q60" s="237"/>
    </row>
    <row r="61" spans="1:17">
      <c r="A61" s="238"/>
      <c r="B61" s="238"/>
      <c r="C61" s="238"/>
      <c r="D61" s="238"/>
      <c r="E61" s="238"/>
      <c r="F61" s="238"/>
      <c r="G61" s="238"/>
      <c r="H61" s="238"/>
      <c r="I61" s="238"/>
      <c r="J61" s="238"/>
      <c r="K61" s="238"/>
      <c r="L61" s="238"/>
      <c r="M61" s="238"/>
      <c r="N61" s="238"/>
      <c r="O61" s="238"/>
      <c r="P61" s="238"/>
      <c r="Q61" s="238"/>
    </row>
    <row r="62" spans="1:17" ht="22.5" customHeight="1">
      <c r="A62" s="18"/>
      <c r="B62" s="18"/>
      <c r="C62" s="19"/>
      <c r="D62" s="5"/>
      <c r="E62" s="4"/>
      <c r="F62" s="4"/>
      <c r="G62" s="95"/>
      <c r="H62" s="95"/>
      <c r="I62" s="95"/>
      <c r="J62" s="96"/>
      <c r="K62" s="95"/>
      <c r="L62" s="20"/>
      <c r="M62" s="20"/>
      <c r="N62" s="20"/>
      <c r="O62" s="97"/>
      <c r="P62" s="20"/>
      <c r="Q62" s="96"/>
    </row>
    <row r="63" spans="1:17" ht="22.5" customHeight="1">
      <c r="A63" s="189" t="s">
        <v>369</v>
      </c>
      <c r="B63" s="18"/>
      <c r="C63" s="19"/>
      <c r="D63" s="5"/>
      <c r="E63" s="4"/>
      <c r="F63" s="4"/>
      <c r="G63" s="95"/>
      <c r="H63" s="95"/>
      <c r="I63" s="95"/>
      <c r="J63" s="96"/>
      <c r="K63" s="95"/>
      <c r="L63" s="20"/>
      <c r="M63" s="98"/>
      <c r="N63" s="98"/>
      <c r="O63" s="97"/>
      <c r="P63" s="20"/>
      <c r="Q63" s="96"/>
    </row>
    <row r="64" spans="1:17" ht="22.5" customHeight="1">
      <c r="A64" s="18"/>
      <c r="B64" s="18"/>
      <c r="C64" s="19"/>
      <c r="D64" s="5"/>
      <c r="E64" s="107"/>
      <c r="F64" s="4"/>
      <c r="G64" s="95"/>
      <c r="H64" s="95"/>
      <c r="I64" s="95"/>
      <c r="J64" s="96"/>
      <c r="K64" s="95"/>
      <c r="L64" s="20"/>
      <c r="M64" s="20"/>
      <c r="N64" s="20"/>
      <c r="O64" s="97"/>
      <c r="P64" s="20"/>
      <c r="Q64" s="96"/>
    </row>
    <row r="65" spans="1:17" ht="22.5" customHeight="1">
      <c r="A65" s="18"/>
      <c r="B65" s="18"/>
      <c r="C65" s="19"/>
      <c r="D65" s="5"/>
      <c r="E65" s="107"/>
      <c r="F65" s="4"/>
      <c r="G65" s="95"/>
      <c r="H65" s="95"/>
      <c r="I65" s="95"/>
      <c r="J65" s="96"/>
      <c r="K65" s="95"/>
      <c r="L65" s="20"/>
      <c r="M65" s="99"/>
      <c r="N65" s="99"/>
      <c r="O65" s="97"/>
      <c r="P65" s="20"/>
      <c r="Q65" s="96"/>
    </row>
    <row r="66" spans="1:17" ht="15">
      <c r="A66" s="100"/>
      <c r="B66" s="101"/>
      <c r="C66" s="101"/>
      <c r="D66" s="101"/>
      <c r="E66" s="101"/>
      <c r="F66" s="101"/>
      <c r="G66" s="101"/>
      <c r="H66" s="101"/>
      <c r="I66" s="101"/>
      <c r="J66" s="101"/>
      <c r="K66" s="101"/>
      <c r="L66" s="101"/>
      <c r="M66" s="101"/>
      <c r="N66" s="101"/>
      <c r="O66" s="101"/>
      <c r="P66" s="101"/>
      <c r="Q66" s="101"/>
    </row>
  </sheetData>
  <mergeCells count="76">
    <mergeCell ref="A60:Q61"/>
    <mergeCell ref="K50:K59"/>
    <mergeCell ref="L50:L59"/>
    <mergeCell ref="M50:M59"/>
    <mergeCell ref="N50:N59"/>
    <mergeCell ref="O50:O59"/>
    <mergeCell ref="P50:P59"/>
    <mergeCell ref="A50:A59"/>
    <mergeCell ref="O37:P37"/>
    <mergeCell ref="J39:Q39"/>
    <mergeCell ref="Q50:Q59"/>
    <mergeCell ref="E55:E59"/>
    <mergeCell ref="A29:Q30"/>
    <mergeCell ref="N40:N49"/>
    <mergeCell ref="O40:O49"/>
    <mergeCell ref="P40:P49"/>
    <mergeCell ref="Q40:Q49"/>
    <mergeCell ref="E45:E49"/>
    <mergeCell ref="F37:F39"/>
    <mergeCell ref="B50:B59"/>
    <mergeCell ref="C50:C59"/>
    <mergeCell ref="E50:E54"/>
    <mergeCell ref="J50:J59"/>
    <mergeCell ref="G37:G39"/>
    <mergeCell ref="H37:I38"/>
    <mergeCell ref="J37:M37"/>
    <mergeCell ref="K40:K49"/>
    <mergeCell ref="L40:L49"/>
    <mergeCell ref="M40:M49"/>
    <mergeCell ref="J19:J28"/>
    <mergeCell ref="K19:K28"/>
    <mergeCell ref="L19:L28"/>
    <mergeCell ref="M19:M28"/>
    <mergeCell ref="A40:A49"/>
    <mergeCell ref="B40:B49"/>
    <mergeCell ref="C40:C49"/>
    <mergeCell ref="E40:E44"/>
    <mergeCell ref="J40:J49"/>
    <mergeCell ref="O9:O18"/>
    <mergeCell ref="Q9:Q18"/>
    <mergeCell ref="N9:N18"/>
    <mergeCell ref="P9:P18"/>
    <mergeCell ref="Q19:Q28"/>
    <mergeCell ref="N19:N28"/>
    <mergeCell ref="O19:O28"/>
    <mergeCell ref="P19:P28"/>
    <mergeCell ref="E9:E13"/>
    <mergeCell ref="E14:E18"/>
    <mergeCell ref="A19:A28"/>
    <mergeCell ref="B19:B28"/>
    <mergeCell ref="C19:C28"/>
    <mergeCell ref="E19:E23"/>
    <mergeCell ref="E24:E28"/>
    <mergeCell ref="A9:A18"/>
    <mergeCell ref="B9:B18"/>
    <mergeCell ref="C9:C18"/>
    <mergeCell ref="J9:J18"/>
    <mergeCell ref="F6:F8"/>
    <mergeCell ref="G6:G8"/>
    <mergeCell ref="H6:I7"/>
    <mergeCell ref="J6:M6"/>
    <mergeCell ref="K9:K18"/>
    <mergeCell ref="L9:L18"/>
    <mergeCell ref="M9:M18"/>
    <mergeCell ref="O6:P6"/>
    <mergeCell ref="J8:Q8"/>
    <mergeCell ref="A6:A8"/>
    <mergeCell ref="B6:B8"/>
    <mergeCell ref="C6:C8"/>
    <mergeCell ref="D6:D8"/>
    <mergeCell ref="E6:E7"/>
    <mergeCell ref="A37:A39"/>
    <mergeCell ref="B37:B39"/>
    <mergeCell ref="C37:C39"/>
    <mergeCell ref="D37:D39"/>
    <mergeCell ref="E37:E38"/>
  </mergeCells>
  <phoneticPr fontId="5"/>
  <pageMargins left="0.7" right="0.7" top="0.75" bottom="0.75" header="0.3" footer="0.3"/>
  <pageSetup paperSize="9"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46"/>
  <sheetViews>
    <sheetView tabSelected="1" view="pageBreakPreview" topLeftCell="A19" zoomScale="60" zoomScaleNormal="70" workbookViewId="0">
      <selection activeCell="N33" sqref="N33"/>
    </sheetView>
  </sheetViews>
  <sheetFormatPr defaultRowHeight="14.25"/>
  <cols>
    <col min="1" max="1" width="23.25" customWidth="1"/>
    <col min="2" max="11" width="6" customWidth="1"/>
    <col min="12" max="22" width="6.125" customWidth="1"/>
  </cols>
  <sheetData>
    <row r="1" spans="1:12">
      <c r="A1" s="33" t="s">
        <v>351</v>
      </c>
    </row>
    <row r="2" spans="1:12" ht="15">
      <c r="A2" s="1" t="s">
        <v>183</v>
      </c>
    </row>
    <row r="3" spans="1:12" ht="15">
      <c r="A3" s="37" t="s">
        <v>153</v>
      </c>
    </row>
    <row r="4" spans="1:12" ht="15.75" thickBot="1">
      <c r="A4" s="37" t="s">
        <v>152</v>
      </c>
    </row>
    <row r="5" spans="1:12" ht="15">
      <c r="A5" s="38" t="s">
        <v>155</v>
      </c>
      <c r="B5" s="142" t="s">
        <v>171</v>
      </c>
      <c r="C5" s="142" t="s">
        <v>172</v>
      </c>
      <c r="D5" s="143" t="s">
        <v>173</v>
      </c>
      <c r="E5" s="142" t="s">
        <v>174</v>
      </c>
      <c r="F5" s="143" t="s">
        <v>175</v>
      </c>
      <c r="G5" s="142" t="s">
        <v>176</v>
      </c>
      <c r="H5" s="144" t="s">
        <v>177</v>
      </c>
      <c r="I5" s="144" t="s">
        <v>178</v>
      </c>
      <c r="J5" s="142" t="s">
        <v>179</v>
      </c>
      <c r="K5" s="145" t="s">
        <v>180</v>
      </c>
      <c r="L5" s="146"/>
    </row>
    <row r="6" spans="1:12" ht="15">
      <c r="A6" s="54" t="s">
        <v>156</v>
      </c>
      <c r="B6" s="43" t="s">
        <v>0</v>
      </c>
      <c r="C6" s="43" t="s">
        <v>0</v>
      </c>
      <c r="D6" s="43" t="s">
        <v>0</v>
      </c>
      <c r="E6" s="43" t="s">
        <v>1</v>
      </c>
      <c r="F6" s="43" t="s">
        <v>1</v>
      </c>
      <c r="G6" s="43" t="s">
        <v>2</v>
      </c>
      <c r="H6" s="44" t="s">
        <v>1</v>
      </c>
      <c r="I6" s="44" t="s">
        <v>2</v>
      </c>
      <c r="J6" s="43" t="s">
        <v>3</v>
      </c>
      <c r="K6" s="68" t="s">
        <v>3</v>
      </c>
      <c r="L6" s="146"/>
    </row>
    <row r="7" spans="1:12" ht="149.25" customHeight="1">
      <c r="A7" s="47" t="s">
        <v>36</v>
      </c>
      <c r="B7" s="48" t="s">
        <v>157</v>
      </c>
      <c r="C7" s="48" t="s">
        <v>154</v>
      </c>
      <c r="D7" s="48" t="s">
        <v>154</v>
      </c>
      <c r="E7" s="48" t="s">
        <v>154</v>
      </c>
      <c r="F7" s="48" t="s">
        <v>154</v>
      </c>
      <c r="G7" s="48" t="s">
        <v>154</v>
      </c>
      <c r="H7" s="48" t="s">
        <v>154</v>
      </c>
      <c r="I7" s="48" t="s">
        <v>154</v>
      </c>
      <c r="J7" s="48" t="s">
        <v>154</v>
      </c>
      <c r="K7" s="70" t="s">
        <v>154</v>
      </c>
      <c r="L7" s="146"/>
    </row>
    <row r="8" spans="1:12" ht="15">
      <c r="A8" s="50" t="s">
        <v>158</v>
      </c>
      <c r="B8" s="43"/>
      <c r="C8" s="43"/>
      <c r="D8" s="43"/>
      <c r="E8" s="43"/>
      <c r="F8" s="43"/>
      <c r="G8" s="43"/>
      <c r="H8" s="43"/>
      <c r="I8" s="43"/>
      <c r="J8" s="43"/>
      <c r="K8" s="68"/>
      <c r="L8" s="146"/>
    </row>
    <row r="9" spans="1:12" ht="15">
      <c r="A9" s="50" t="s">
        <v>159</v>
      </c>
      <c r="B9" s="52">
        <v>18.3</v>
      </c>
      <c r="C9" s="52">
        <v>9.8000000000000007</v>
      </c>
      <c r="D9" s="52">
        <v>6.9</v>
      </c>
      <c r="E9" s="52">
        <v>13.2</v>
      </c>
      <c r="F9" s="52">
        <v>12.9</v>
      </c>
      <c r="G9" s="52">
        <v>8.3000000000000007</v>
      </c>
      <c r="H9" s="52">
        <v>8.6999999999999993</v>
      </c>
      <c r="I9" s="52">
        <v>10.199999999999999</v>
      </c>
      <c r="J9" s="52">
        <v>12.2</v>
      </c>
      <c r="K9" s="71">
        <v>12</v>
      </c>
      <c r="L9" s="146"/>
    </row>
    <row r="10" spans="1:12" ht="15">
      <c r="A10" s="50" t="s">
        <v>160</v>
      </c>
      <c r="B10" s="52">
        <v>19</v>
      </c>
      <c r="C10" s="52">
        <v>13.7</v>
      </c>
      <c r="D10" s="52">
        <v>11.6</v>
      </c>
      <c r="E10" s="52">
        <v>13.5</v>
      </c>
      <c r="F10" s="52">
        <v>14.1</v>
      </c>
      <c r="G10" s="52">
        <v>9.1</v>
      </c>
      <c r="H10" s="52">
        <v>10.4</v>
      </c>
      <c r="I10" s="52">
        <v>12.2</v>
      </c>
      <c r="J10" s="52">
        <v>12.4</v>
      </c>
      <c r="K10" s="71">
        <v>10.4</v>
      </c>
      <c r="L10" s="146"/>
    </row>
    <row r="11" spans="1:12" ht="15">
      <c r="A11" s="54" t="s">
        <v>161</v>
      </c>
      <c r="B11" s="43"/>
      <c r="C11" s="43"/>
      <c r="D11" s="43"/>
      <c r="E11" s="43"/>
      <c r="F11" s="43"/>
      <c r="G11" s="43"/>
      <c r="H11" s="43"/>
      <c r="I11" s="43"/>
      <c r="J11" s="43"/>
      <c r="K11" s="68"/>
      <c r="L11" s="146"/>
    </row>
    <row r="12" spans="1:12" ht="15">
      <c r="A12" s="54" t="s">
        <v>162</v>
      </c>
      <c r="B12" s="43">
        <v>1</v>
      </c>
      <c r="C12" s="43"/>
      <c r="D12" s="43"/>
      <c r="E12" s="43"/>
      <c r="F12" s="43"/>
      <c r="G12" s="43"/>
      <c r="H12" s="43"/>
      <c r="I12" s="43"/>
      <c r="J12" s="43"/>
      <c r="K12" s="68"/>
      <c r="L12" s="146"/>
    </row>
    <row r="13" spans="1:12" ht="15">
      <c r="A13" s="54" t="s">
        <v>163</v>
      </c>
      <c r="B13" s="43"/>
      <c r="C13" s="43"/>
      <c r="D13" s="43"/>
      <c r="E13" s="43"/>
      <c r="F13" s="43"/>
      <c r="G13" s="43"/>
      <c r="H13" s="43"/>
      <c r="I13" s="43"/>
      <c r="J13" s="43"/>
      <c r="K13" s="68"/>
      <c r="L13" s="146"/>
    </row>
    <row r="14" spans="1:12" ht="15">
      <c r="A14" s="54" t="s">
        <v>164</v>
      </c>
      <c r="B14" s="43"/>
      <c r="C14" s="43"/>
      <c r="D14" s="43"/>
      <c r="E14" s="43"/>
      <c r="F14" s="43"/>
      <c r="G14" s="43"/>
      <c r="H14" s="43"/>
      <c r="I14" s="43"/>
      <c r="J14" s="43"/>
      <c r="K14" s="68"/>
      <c r="L14" s="146"/>
    </row>
    <row r="15" spans="1:12" ht="15">
      <c r="A15" s="84" t="s">
        <v>165</v>
      </c>
      <c r="B15" s="72"/>
      <c r="C15" s="72"/>
      <c r="D15" s="72"/>
      <c r="E15" s="72"/>
      <c r="F15" s="72"/>
      <c r="G15" s="72"/>
      <c r="H15" s="72"/>
      <c r="I15" s="72"/>
      <c r="J15" s="72"/>
      <c r="K15" s="73"/>
      <c r="L15" s="146"/>
    </row>
    <row r="16" spans="1:12" ht="15">
      <c r="A16" s="86" t="s">
        <v>166</v>
      </c>
      <c r="B16" s="44"/>
      <c r="C16" s="44"/>
      <c r="D16" s="44"/>
      <c r="E16" s="44"/>
      <c r="F16" s="44"/>
      <c r="G16" s="44"/>
      <c r="H16" s="44"/>
      <c r="I16" s="44"/>
      <c r="J16" s="44"/>
      <c r="K16" s="74"/>
      <c r="L16" s="146"/>
    </row>
    <row r="17" spans="1:12" ht="15">
      <c r="A17" s="86" t="s">
        <v>167</v>
      </c>
      <c r="B17" s="44"/>
      <c r="C17" s="44"/>
      <c r="D17" s="44"/>
      <c r="E17" s="44"/>
      <c r="F17" s="44"/>
      <c r="G17" s="44"/>
      <c r="H17" s="44"/>
      <c r="I17" s="44"/>
      <c r="J17" s="44"/>
      <c r="K17" s="74"/>
      <c r="L17" s="146"/>
    </row>
    <row r="18" spans="1:12" ht="15">
      <c r="A18" s="84" t="s">
        <v>168</v>
      </c>
      <c r="B18" s="72"/>
      <c r="C18" s="72"/>
      <c r="D18" s="72"/>
      <c r="E18" s="72"/>
      <c r="F18" s="72"/>
      <c r="G18" s="72"/>
      <c r="H18" s="72"/>
      <c r="I18" s="72"/>
      <c r="J18" s="72"/>
      <c r="K18" s="73"/>
      <c r="L18" s="146"/>
    </row>
    <row r="19" spans="1:12" ht="15.75" thickBot="1">
      <c r="A19" s="88" t="s">
        <v>169</v>
      </c>
      <c r="B19" s="76"/>
      <c r="C19" s="76"/>
      <c r="D19" s="76"/>
      <c r="E19" s="76"/>
      <c r="F19" s="76"/>
      <c r="G19" s="76"/>
      <c r="H19" s="76"/>
      <c r="I19" s="76"/>
      <c r="J19" s="76"/>
      <c r="K19" s="77"/>
      <c r="L19" s="146"/>
    </row>
    <row r="20" spans="1:12" ht="16.5" thickTop="1" thickBot="1">
      <c r="A20" s="90" t="s">
        <v>182</v>
      </c>
      <c r="B20" s="78"/>
      <c r="C20" s="78"/>
      <c r="D20" s="78"/>
      <c r="E20" s="78"/>
      <c r="F20" s="78"/>
      <c r="G20" s="78"/>
      <c r="H20" s="78"/>
      <c r="I20" s="78"/>
      <c r="J20" s="78"/>
      <c r="K20" s="79"/>
      <c r="L20" s="146"/>
    </row>
    <row r="21" spans="1:12" ht="15">
      <c r="A21" s="147" t="s">
        <v>181</v>
      </c>
    </row>
    <row r="24" spans="1:12">
      <c r="A24" s="33" t="s">
        <v>352</v>
      </c>
    </row>
    <row r="25" spans="1:12" ht="15">
      <c r="A25" s="1" t="s">
        <v>184</v>
      </c>
    </row>
    <row r="26" spans="1:12" ht="15">
      <c r="A26" s="148" t="s">
        <v>185</v>
      </c>
    </row>
    <row r="27" spans="1:12" ht="15.75" thickBot="1">
      <c r="A27" s="37" t="s">
        <v>152</v>
      </c>
    </row>
    <row r="28" spans="1:12" ht="15">
      <c r="A28" s="38" t="s">
        <v>155</v>
      </c>
      <c r="B28" s="142" t="s">
        <v>197</v>
      </c>
      <c r="C28" s="142" t="s">
        <v>196</v>
      </c>
      <c r="D28" s="143" t="s">
        <v>195</v>
      </c>
      <c r="E28" s="142" t="s">
        <v>194</v>
      </c>
      <c r="F28" s="143" t="s">
        <v>193</v>
      </c>
      <c r="G28" s="142" t="s">
        <v>192</v>
      </c>
      <c r="H28" s="144" t="s">
        <v>191</v>
      </c>
      <c r="I28" s="144" t="s">
        <v>190</v>
      </c>
      <c r="J28" s="146"/>
    </row>
    <row r="29" spans="1:12" ht="15">
      <c r="A29" s="54" t="s">
        <v>156</v>
      </c>
      <c r="B29" s="43" t="s">
        <v>0</v>
      </c>
      <c r="C29" s="43" t="s">
        <v>0</v>
      </c>
      <c r="D29" s="43" t="s">
        <v>1</v>
      </c>
      <c r="E29" s="43" t="s">
        <v>1</v>
      </c>
      <c r="F29" s="43" t="s">
        <v>2</v>
      </c>
      <c r="G29" s="43" t="s">
        <v>3</v>
      </c>
      <c r="H29" s="44" t="s">
        <v>3</v>
      </c>
      <c r="I29" s="44" t="s">
        <v>3</v>
      </c>
      <c r="J29" s="146"/>
    </row>
    <row r="30" spans="1:12" ht="144" customHeight="1">
      <c r="A30" s="47" t="s">
        <v>36</v>
      </c>
      <c r="B30" s="48" t="s">
        <v>198</v>
      </c>
      <c r="C30" s="48" t="s">
        <v>198</v>
      </c>
      <c r="D30" s="48" t="s">
        <v>199</v>
      </c>
      <c r="E30" s="48" t="s">
        <v>154</v>
      </c>
      <c r="F30" s="48" t="s">
        <v>186</v>
      </c>
      <c r="G30" s="48" t="s">
        <v>187</v>
      </c>
      <c r="H30" s="48" t="s">
        <v>188</v>
      </c>
      <c r="I30" s="48" t="s">
        <v>189</v>
      </c>
      <c r="J30" s="146"/>
    </row>
    <row r="31" spans="1:12" ht="15">
      <c r="A31" s="50" t="s">
        <v>158</v>
      </c>
      <c r="B31" s="43"/>
      <c r="C31" s="43"/>
      <c r="D31" s="43"/>
      <c r="E31" s="43"/>
      <c r="F31" s="43"/>
      <c r="G31" s="43"/>
      <c r="H31" s="43"/>
      <c r="I31" s="43"/>
      <c r="J31" s="146"/>
    </row>
    <row r="32" spans="1:12" ht="15">
      <c r="A32" s="50" t="s">
        <v>159</v>
      </c>
      <c r="B32" s="52">
        <v>10.8</v>
      </c>
      <c r="C32" s="52">
        <v>9.8000000000000007</v>
      </c>
      <c r="D32" s="52">
        <v>15.8</v>
      </c>
      <c r="E32" s="52">
        <v>16.7</v>
      </c>
      <c r="F32" s="52">
        <v>19.8</v>
      </c>
      <c r="G32" s="52">
        <v>14.4</v>
      </c>
      <c r="H32" s="52">
        <v>17.899999999999999</v>
      </c>
      <c r="I32" s="52"/>
      <c r="J32" s="146"/>
    </row>
    <row r="33" spans="1:10" ht="15">
      <c r="A33" s="50" t="s">
        <v>160</v>
      </c>
      <c r="B33" s="52">
        <v>11</v>
      </c>
      <c r="C33" s="52">
        <v>14.5</v>
      </c>
      <c r="D33" s="52">
        <v>15.6</v>
      </c>
      <c r="E33" s="52">
        <v>25.3</v>
      </c>
      <c r="F33" s="52">
        <v>21.1</v>
      </c>
      <c r="G33" s="52">
        <v>16.2</v>
      </c>
      <c r="H33" s="52">
        <v>39.4</v>
      </c>
      <c r="I33" s="52"/>
      <c r="J33" s="146"/>
    </row>
    <row r="34" spans="1:10" ht="15">
      <c r="A34" s="54" t="s">
        <v>161</v>
      </c>
      <c r="B34" s="43"/>
      <c r="C34" s="43"/>
      <c r="D34" s="43"/>
      <c r="E34" s="43"/>
      <c r="F34" s="43"/>
      <c r="G34" s="43"/>
      <c r="H34" s="43"/>
      <c r="I34" s="43"/>
      <c r="J34" s="146"/>
    </row>
    <row r="35" spans="1:10" ht="15">
      <c r="A35" s="54" t="s">
        <v>162</v>
      </c>
      <c r="B35" s="43"/>
      <c r="C35" s="43"/>
      <c r="D35" s="43"/>
      <c r="E35" s="43"/>
      <c r="F35" s="43"/>
      <c r="G35" s="43"/>
      <c r="H35" s="43"/>
      <c r="I35" s="43"/>
      <c r="J35" s="146"/>
    </row>
    <row r="36" spans="1:10" ht="15">
      <c r="A36" s="54" t="s">
        <v>163</v>
      </c>
      <c r="B36" s="43"/>
      <c r="C36" s="43"/>
      <c r="D36" s="43"/>
      <c r="E36" s="43"/>
      <c r="F36" s="43"/>
      <c r="G36" s="43"/>
      <c r="H36" s="43"/>
      <c r="I36" s="43"/>
      <c r="J36" s="146"/>
    </row>
    <row r="37" spans="1:10" ht="15">
      <c r="A37" s="54" t="s">
        <v>164</v>
      </c>
      <c r="B37" s="43"/>
      <c r="C37" s="43"/>
      <c r="D37" s="43"/>
      <c r="E37" s="43"/>
      <c r="F37" s="43"/>
      <c r="G37" s="43"/>
      <c r="H37" s="43"/>
      <c r="I37" s="43"/>
      <c r="J37" s="146"/>
    </row>
    <row r="38" spans="1:10" ht="15">
      <c r="A38" s="84" t="s">
        <v>165</v>
      </c>
      <c r="B38" s="72"/>
      <c r="C38" s="72"/>
      <c r="D38" s="72"/>
      <c r="E38" s="72"/>
      <c r="F38" s="72"/>
      <c r="G38" s="72"/>
      <c r="H38" s="72"/>
      <c r="I38" s="72"/>
      <c r="J38" s="146"/>
    </row>
    <row r="39" spans="1:10" ht="15">
      <c r="A39" s="86" t="s">
        <v>166</v>
      </c>
      <c r="B39" s="44"/>
      <c r="C39" s="44"/>
      <c r="D39" s="44"/>
      <c r="E39" s="44"/>
      <c r="F39" s="44"/>
      <c r="G39" s="44"/>
      <c r="H39" s="44"/>
      <c r="I39" s="44"/>
      <c r="J39" s="146"/>
    </row>
    <row r="40" spans="1:10" ht="15">
      <c r="A40" s="86" t="s">
        <v>167</v>
      </c>
      <c r="B40" s="44"/>
      <c r="C40" s="44"/>
      <c r="D40" s="44"/>
      <c r="E40" s="44"/>
      <c r="F40" s="44"/>
      <c r="G40" s="44"/>
      <c r="H40" s="44"/>
      <c r="I40" s="44"/>
      <c r="J40" s="146"/>
    </row>
    <row r="41" spans="1:10" ht="15">
      <c r="A41" s="84" t="s">
        <v>168</v>
      </c>
      <c r="B41" s="72"/>
      <c r="C41" s="72"/>
      <c r="D41" s="72"/>
      <c r="E41" s="72"/>
      <c r="F41" s="72"/>
      <c r="G41" s="72"/>
      <c r="H41" s="72"/>
      <c r="I41" s="72"/>
      <c r="J41" s="146"/>
    </row>
    <row r="42" spans="1:10" ht="15.75" thickBot="1">
      <c r="A42" s="88" t="s">
        <v>169</v>
      </c>
      <c r="B42" s="76"/>
      <c r="C42" s="76"/>
      <c r="D42" s="76"/>
      <c r="E42" s="76"/>
      <c r="F42" s="76"/>
      <c r="G42" s="76"/>
      <c r="H42" s="76"/>
      <c r="I42" s="76"/>
      <c r="J42" s="146"/>
    </row>
    <row r="43" spans="1:10" ht="16.5" thickTop="1" thickBot="1">
      <c r="A43" s="90" t="s">
        <v>182</v>
      </c>
      <c r="B43" s="78"/>
      <c r="C43" s="78"/>
      <c r="D43" s="78"/>
      <c r="E43" s="78"/>
      <c r="F43" s="78"/>
      <c r="G43" s="78"/>
      <c r="H43" s="78"/>
      <c r="I43" s="78"/>
      <c r="J43" s="146"/>
    </row>
    <row r="44" spans="1:10" ht="15">
      <c r="A44" s="147" t="s">
        <v>181</v>
      </c>
    </row>
    <row r="46" spans="1:10" ht="15">
      <c r="A46" s="189" t="s">
        <v>369</v>
      </c>
    </row>
  </sheetData>
  <phoneticPr fontId="5"/>
  <pageMargins left="0.7" right="0.7" top="0.75" bottom="0.75" header="0.3" footer="0.3"/>
  <pageSetup paperSize="9" scale="4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44"/>
  <sheetViews>
    <sheetView view="pageBreakPreview" zoomScale="60" zoomScaleNormal="70" workbookViewId="0"/>
  </sheetViews>
  <sheetFormatPr defaultRowHeight="14.25"/>
  <cols>
    <col min="1" max="1" width="23.25" customWidth="1"/>
    <col min="2" max="21" width="6" customWidth="1"/>
    <col min="22" max="22" width="6.125" customWidth="1"/>
  </cols>
  <sheetData>
    <row r="1" spans="1:20">
      <c r="A1" s="33" t="s">
        <v>353</v>
      </c>
    </row>
    <row r="2" spans="1:20" ht="15">
      <c r="A2" s="1" t="s">
        <v>200</v>
      </c>
    </row>
    <row r="3" spans="1:20" ht="15">
      <c r="A3" s="37" t="s">
        <v>201</v>
      </c>
    </row>
    <row r="4" spans="1:20" ht="15.75" thickBot="1">
      <c r="A4" s="37" t="s">
        <v>202</v>
      </c>
    </row>
    <row r="5" spans="1:20" ht="15">
      <c r="A5" s="38" t="s">
        <v>155</v>
      </c>
      <c r="B5" s="142">
        <v>120</v>
      </c>
      <c r="C5" s="142">
        <v>210</v>
      </c>
      <c r="D5" s="143">
        <v>211</v>
      </c>
      <c r="E5" s="142">
        <v>116</v>
      </c>
      <c r="F5" s="143">
        <v>203</v>
      </c>
      <c r="G5" s="142">
        <v>225</v>
      </c>
      <c r="H5" s="144">
        <v>227</v>
      </c>
      <c r="I5" s="144">
        <v>301</v>
      </c>
      <c r="J5" s="142">
        <v>220</v>
      </c>
      <c r="K5" s="145">
        <v>221</v>
      </c>
      <c r="L5" s="142">
        <v>337</v>
      </c>
      <c r="M5" s="142">
        <v>334</v>
      </c>
      <c r="N5" s="142">
        <v>333</v>
      </c>
      <c r="O5" s="142">
        <v>313</v>
      </c>
      <c r="P5" s="142">
        <v>314</v>
      </c>
      <c r="Q5" s="142">
        <v>310</v>
      </c>
      <c r="R5" s="142">
        <v>309</v>
      </c>
      <c r="S5" s="145">
        <v>308</v>
      </c>
      <c r="T5" s="146"/>
    </row>
    <row r="6" spans="1:20" ht="15">
      <c r="A6" s="54" t="s">
        <v>156</v>
      </c>
      <c r="B6" s="43" t="s">
        <v>0</v>
      </c>
      <c r="C6" s="43" t="s">
        <v>0</v>
      </c>
      <c r="D6" s="43" t="s">
        <v>0</v>
      </c>
      <c r="E6" s="43" t="s">
        <v>0</v>
      </c>
      <c r="F6" s="43" t="s">
        <v>1</v>
      </c>
      <c r="G6" s="43" t="s">
        <v>1</v>
      </c>
      <c r="H6" s="44" t="s">
        <v>1</v>
      </c>
      <c r="I6" s="44" t="s">
        <v>1</v>
      </c>
      <c r="J6" s="43" t="s">
        <v>2</v>
      </c>
      <c r="K6" s="68" t="s">
        <v>2</v>
      </c>
      <c r="L6" s="43" t="s">
        <v>2</v>
      </c>
      <c r="M6" s="43" t="s">
        <v>2</v>
      </c>
      <c r="N6" s="43" t="s">
        <v>2</v>
      </c>
      <c r="O6" s="43" t="s">
        <v>3</v>
      </c>
      <c r="P6" s="43" t="s">
        <v>3</v>
      </c>
      <c r="Q6" s="43" t="s">
        <v>3</v>
      </c>
      <c r="R6" s="43" t="s">
        <v>3</v>
      </c>
      <c r="S6" s="68" t="s">
        <v>3</v>
      </c>
      <c r="T6" s="146"/>
    </row>
    <row r="7" spans="1:20" ht="149.25" customHeight="1">
      <c r="A7" s="47" t="s">
        <v>36</v>
      </c>
      <c r="B7" s="48" t="s">
        <v>203</v>
      </c>
      <c r="C7" s="48" t="s">
        <v>203</v>
      </c>
      <c r="D7" s="48" t="s">
        <v>203</v>
      </c>
      <c r="E7" s="48" t="s">
        <v>203</v>
      </c>
      <c r="F7" s="48" t="s">
        <v>203</v>
      </c>
      <c r="G7" s="48" t="s">
        <v>203</v>
      </c>
      <c r="H7" s="48" t="s">
        <v>203</v>
      </c>
      <c r="I7" s="48" t="s">
        <v>203</v>
      </c>
      <c r="J7" s="48" t="s">
        <v>203</v>
      </c>
      <c r="K7" s="70" t="s">
        <v>203</v>
      </c>
      <c r="L7" s="48" t="s">
        <v>203</v>
      </c>
      <c r="M7" s="48" t="s">
        <v>203</v>
      </c>
      <c r="N7" s="48" t="s">
        <v>203</v>
      </c>
      <c r="O7" s="48" t="s">
        <v>203</v>
      </c>
      <c r="P7" s="48" t="s">
        <v>203</v>
      </c>
      <c r="Q7" s="48" t="s">
        <v>203</v>
      </c>
      <c r="R7" s="48" t="s">
        <v>203</v>
      </c>
      <c r="S7" s="70" t="s">
        <v>203</v>
      </c>
      <c r="T7" s="146"/>
    </row>
    <row r="8" spans="1:20" ht="15">
      <c r="A8" s="50" t="s">
        <v>158</v>
      </c>
      <c r="B8" s="43"/>
      <c r="C8" s="43"/>
      <c r="D8" s="43"/>
      <c r="E8" s="43"/>
      <c r="F8" s="43"/>
      <c r="G8" s="43"/>
      <c r="H8" s="43"/>
      <c r="I8" s="43"/>
      <c r="J8" s="43"/>
      <c r="K8" s="68"/>
      <c r="L8" s="43"/>
      <c r="M8" s="43"/>
      <c r="N8" s="43"/>
      <c r="O8" s="43"/>
      <c r="P8" s="43"/>
      <c r="Q8" s="43"/>
      <c r="R8" s="43"/>
      <c r="S8" s="68"/>
      <c r="T8" s="146"/>
    </row>
    <row r="9" spans="1:20" ht="15">
      <c r="A9" s="50" t="s">
        <v>159</v>
      </c>
      <c r="B9" s="52">
        <v>16.8</v>
      </c>
      <c r="C9" s="52">
        <v>17.5</v>
      </c>
      <c r="D9" s="52">
        <v>18.3</v>
      </c>
      <c r="E9" s="52">
        <v>17.100000000000001</v>
      </c>
      <c r="F9" s="52">
        <v>16.3</v>
      </c>
      <c r="G9" s="52">
        <v>17.399999999999999</v>
      </c>
      <c r="H9" s="52">
        <v>18.100000000000001</v>
      </c>
      <c r="I9" s="52">
        <v>18</v>
      </c>
      <c r="J9" s="52">
        <v>17.899999999999999</v>
      </c>
      <c r="K9" s="71">
        <v>18.3</v>
      </c>
      <c r="L9" s="52">
        <v>18.100000000000001</v>
      </c>
      <c r="M9" s="52">
        <v>17.899999999999999</v>
      </c>
      <c r="N9" s="52">
        <v>19.2</v>
      </c>
      <c r="O9" s="52">
        <v>16.7</v>
      </c>
      <c r="P9" s="52">
        <v>16.899999999999999</v>
      </c>
      <c r="Q9" s="52">
        <v>17.2</v>
      </c>
      <c r="R9" s="52">
        <v>17.100000000000001</v>
      </c>
      <c r="S9" s="71">
        <v>19.399999999999999</v>
      </c>
      <c r="T9" s="146"/>
    </row>
    <row r="10" spans="1:20" ht="15">
      <c r="A10" s="50" t="s">
        <v>160</v>
      </c>
      <c r="B10" s="52">
        <v>17.5</v>
      </c>
      <c r="C10" s="52">
        <v>21.1</v>
      </c>
      <c r="D10" s="52">
        <v>19.7</v>
      </c>
      <c r="E10" s="52">
        <v>20.100000000000001</v>
      </c>
      <c r="F10" s="52">
        <v>21.8</v>
      </c>
      <c r="G10" s="52">
        <v>24.8</v>
      </c>
      <c r="H10" s="52">
        <v>21.3</v>
      </c>
      <c r="I10" s="52">
        <v>20.399999999999999</v>
      </c>
      <c r="J10" s="52">
        <v>18.3</v>
      </c>
      <c r="K10" s="71">
        <v>22.9</v>
      </c>
      <c r="L10" s="52">
        <v>20.399999999999999</v>
      </c>
      <c r="M10" s="52">
        <v>20.6</v>
      </c>
      <c r="N10" s="52">
        <v>19</v>
      </c>
      <c r="O10" s="52">
        <v>21.6</v>
      </c>
      <c r="P10" s="52">
        <v>20.6</v>
      </c>
      <c r="Q10" s="52">
        <v>20.6</v>
      </c>
      <c r="R10" s="52">
        <v>21.6</v>
      </c>
      <c r="S10" s="71">
        <v>30.3</v>
      </c>
      <c r="T10" s="146"/>
    </row>
    <row r="11" spans="1:20" ht="15">
      <c r="A11" s="54" t="s">
        <v>161</v>
      </c>
      <c r="B11" s="43"/>
      <c r="C11" s="43"/>
      <c r="D11" s="43"/>
      <c r="E11" s="43"/>
      <c r="F11" s="43"/>
      <c r="G11" s="43"/>
      <c r="H11" s="43"/>
      <c r="I11" s="43"/>
      <c r="J11" s="43"/>
      <c r="K11" s="68"/>
      <c r="L11" s="43"/>
      <c r="M11" s="43"/>
      <c r="N11" s="43"/>
      <c r="O11" s="43"/>
      <c r="P11" s="43"/>
      <c r="Q11" s="43"/>
      <c r="R11" s="43"/>
      <c r="S11" s="68"/>
      <c r="T11" s="146"/>
    </row>
    <row r="12" spans="1:20" ht="15">
      <c r="A12" s="54" t="s">
        <v>162</v>
      </c>
      <c r="B12" s="43"/>
      <c r="C12" s="43"/>
      <c r="D12" s="43"/>
      <c r="E12" s="43"/>
      <c r="F12" s="43"/>
      <c r="G12" s="43"/>
      <c r="H12" s="43"/>
      <c r="I12" s="43"/>
      <c r="J12" s="43"/>
      <c r="K12" s="68"/>
      <c r="L12" s="43"/>
      <c r="M12" s="43"/>
      <c r="N12" s="43"/>
      <c r="O12" s="43"/>
      <c r="P12" s="43"/>
      <c r="Q12" s="43"/>
      <c r="R12" s="43"/>
      <c r="S12" s="68"/>
      <c r="T12" s="146"/>
    </row>
    <row r="13" spans="1:20" ht="15">
      <c r="A13" s="54" t="s">
        <v>163</v>
      </c>
      <c r="B13" s="43"/>
      <c r="C13" s="43"/>
      <c r="D13" s="43"/>
      <c r="E13" s="43"/>
      <c r="F13" s="43"/>
      <c r="G13" s="43"/>
      <c r="H13" s="43"/>
      <c r="I13" s="43"/>
      <c r="J13" s="43"/>
      <c r="K13" s="68"/>
      <c r="L13" s="43"/>
      <c r="M13" s="43"/>
      <c r="N13" s="43"/>
      <c r="O13" s="43"/>
      <c r="P13" s="43"/>
      <c r="Q13" s="43"/>
      <c r="R13" s="43"/>
      <c r="S13" s="68"/>
      <c r="T13" s="146"/>
    </row>
    <row r="14" spans="1:20" ht="15">
      <c r="A14" s="54" t="s">
        <v>164</v>
      </c>
      <c r="B14" s="43"/>
      <c r="C14" s="43"/>
      <c r="D14" s="43"/>
      <c r="E14" s="43"/>
      <c r="F14" s="43"/>
      <c r="G14" s="43"/>
      <c r="H14" s="43"/>
      <c r="I14" s="43"/>
      <c r="J14" s="43"/>
      <c r="K14" s="68"/>
      <c r="L14" s="43"/>
      <c r="M14" s="43"/>
      <c r="N14" s="43"/>
      <c r="O14" s="43"/>
      <c r="P14" s="43"/>
      <c r="Q14" s="43"/>
      <c r="R14" s="43"/>
      <c r="S14" s="68"/>
      <c r="T14" s="146"/>
    </row>
    <row r="15" spans="1:20" ht="15">
      <c r="A15" s="84" t="s">
        <v>165</v>
      </c>
      <c r="B15" s="72"/>
      <c r="C15" s="72"/>
      <c r="D15" s="72"/>
      <c r="E15" s="72"/>
      <c r="F15" s="72"/>
      <c r="G15" s="72"/>
      <c r="H15" s="72"/>
      <c r="I15" s="72"/>
      <c r="J15" s="72"/>
      <c r="K15" s="73"/>
      <c r="L15" s="72"/>
      <c r="M15" s="72"/>
      <c r="N15" s="72"/>
      <c r="O15" s="72"/>
      <c r="P15" s="72"/>
      <c r="Q15" s="72"/>
      <c r="R15" s="72"/>
      <c r="S15" s="73"/>
      <c r="T15" s="146"/>
    </row>
    <row r="16" spans="1:20" ht="15">
      <c r="A16" s="86" t="s">
        <v>166</v>
      </c>
      <c r="B16" s="44"/>
      <c r="C16" s="44"/>
      <c r="D16" s="44"/>
      <c r="E16" s="44"/>
      <c r="F16" s="44"/>
      <c r="G16" s="44"/>
      <c r="H16" s="44"/>
      <c r="I16" s="44"/>
      <c r="J16" s="44"/>
      <c r="K16" s="74"/>
      <c r="L16" s="44"/>
      <c r="M16" s="44"/>
      <c r="N16" s="44"/>
      <c r="O16" s="44"/>
      <c r="P16" s="44"/>
      <c r="Q16" s="44"/>
      <c r="R16" s="44"/>
      <c r="S16" s="74"/>
      <c r="T16" s="146"/>
    </row>
    <row r="17" spans="1:22" ht="15">
      <c r="A17" s="86" t="s">
        <v>167</v>
      </c>
      <c r="B17" s="44"/>
      <c r="C17" s="44"/>
      <c r="D17" s="44"/>
      <c r="E17" s="44"/>
      <c r="F17" s="44"/>
      <c r="G17" s="44"/>
      <c r="H17" s="44"/>
      <c r="I17" s="44"/>
      <c r="J17" s="44"/>
      <c r="K17" s="74"/>
      <c r="L17" s="44"/>
      <c r="M17" s="44"/>
      <c r="N17" s="44"/>
      <c r="O17" s="44"/>
      <c r="P17" s="44"/>
      <c r="Q17" s="44"/>
      <c r="R17" s="44"/>
      <c r="S17" s="74"/>
      <c r="T17" s="146"/>
    </row>
    <row r="18" spans="1:22" ht="15">
      <c r="A18" s="84" t="s">
        <v>168</v>
      </c>
      <c r="B18" s="72"/>
      <c r="C18" s="72"/>
      <c r="D18" s="72"/>
      <c r="E18" s="72"/>
      <c r="F18" s="72"/>
      <c r="G18" s="72"/>
      <c r="H18" s="72"/>
      <c r="I18" s="72"/>
      <c r="J18" s="72"/>
      <c r="K18" s="73"/>
      <c r="L18" s="72"/>
      <c r="M18" s="72"/>
      <c r="N18" s="72"/>
      <c r="O18" s="72"/>
      <c r="P18" s="72"/>
      <c r="Q18" s="72"/>
      <c r="R18" s="72"/>
      <c r="S18" s="73"/>
      <c r="T18" s="146"/>
    </row>
    <row r="19" spans="1:22" ht="15.75" thickBot="1">
      <c r="A19" s="88" t="s">
        <v>169</v>
      </c>
      <c r="B19" s="76"/>
      <c r="C19" s="76"/>
      <c r="D19" s="76"/>
      <c r="E19" s="76"/>
      <c r="F19" s="76"/>
      <c r="G19" s="76"/>
      <c r="H19" s="76"/>
      <c r="I19" s="76"/>
      <c r="J19" s="76"/>
      <c r="K19" s="77"/>
      <c r="L19" s="76"/>
      <c r="M19" s="76"/>
      <c r="N19" s="76"/>
      <c r="O19" s="76"/>
      <c r="P19" s="76"/>
      <c r="Q19" s="76"/>
      <c r="R19" s="76"/>
      <c r="S19" s="77"/>
      <c r="T19" s="146"/>
    </row>
    <row r="20" spans="1:22" ht="16.5" thickTop="1" thickBot="1">
      <c r="A20" s="90" t="s">
        <v>182</v>
      </c>
      <c r="B20" s="78"/>
      <c r="C20" s="78"/>
      <c r="D20" s="78"/>
      <c r="E20" s="78"/>
      <c r="F20" s="78"/>
      <c r="G20" s="78"/>
      <c r="H20" s="78"/>
      <c r="I20" s="78"/>
      <c r="J20" s="78"/>
      <c r="K20" s="79"/>
      <c r="L20" s="78"/>
      <c r="M20" s="78"/>
      <c r="N20" s="78"/>
      <c r="O20" s="78"/>
      <c r="P20" s="78"/>
      <c r="Q20" s="78"/>
      <c r="R20" s="78"/>
      <c r="S20" s="79"/>
      <c r="T20" s="146"/>
    </row>
    <row r="21" spans="1:22" ht="15">
      <c r="A21" s="147" t="s">
        <v>181</v>
      </c>
    </row>
    <row r="24" spans="1:22">
      <c r="A24" s="33" t="s">
        <v>354</v>
      </c>
    </row>
    <row r="25" spans="1:22" ht="15">
      <c r="A25" s="1" t="s">
        <v>204</v>
      </c>
    </row>
    <row r="26" spans="1:22" ht="15">
      <c r="A26" s="37" t="s">
        <v>205</v>
      </c>
    </row>
    <row r="27" spans="1:22" ht="15.75" thickBot="1">
      <c r="A27" s="37" t="s">
        <v>206</v>
      </c>
    </row>
    <row r="28" spans="1:22" ht="15">
      <c r="A28" s="38" t="s">
        <v>155</v>
      </c>
      <c r="B28" s="142">
        <v>1</v>
      </c>
      <c r="C28" s="142">
        <v>2</v>
      </c>
      <c r="D28" s="143">
        <v>3</v>
      </c>
      <c r="E28" s="142">
        <v>4</v>
      </c>
      <c r="F28" s="143">
        <v>5</v>
      </c>
      <c r="G28" s="142">
        <v>6</v>
      </c>
      <c r="H28" s="144">
        <v>7</v>
      </c>
      <c r="I28" s="144">
        <v>8</v>
      </c>
      <c r="J28" s="144">
        <v>9</v>
      </c>
      <c r="K28" s="144">
        <v>10</v>
      </c>
      <c r="L28" s="144">
        <v>11</v>
      </c>
      <c r="M28" s="144">
        <v>12</v>
      </c>
      <c r="N28" s="144">
        <v>13</v>
      </c>
      <c r="O28" s="144">
        <v>14</v>
      </c>
      <c r="P28" s="144">
        <v>15</v>
      </c>
      <c r="Q28" s="144">
        <v>16</v>
      </c>
      <c r="R28" s="144">
        <v>17</v>
      </c>
      <c r="S28" s="144">
        <v>18</v>
      </c>
      <c r="T28" s="144">
        <v>19</v>
      </c>
      <c r="U28" s="149">
        <v>20</v>
      </c>
      <c r="V28" s="146"/>
    </row>
    <row r="29" spans="1:22" ht="15">
      <c r="A29" s="54" t="s">
        <v>156</v>
      </c>
      <c r="B29" s="43" t="s">
        <v>0</v>
      </c>
      <c r="C29" s="43" t="s">
        <v>0</v>
      </c>
      <c r="D29" s="43" t="s">
        <v>0</v>
      </c>
      <c r="E29" s="43" t="s">
        <v>0</v>
      </c>
      <c r="F29" s="43" t="s">
        <v>0</v>
      </c>
      <c r="G29" s="43" t="s">
        <v>1</v>
      </c>
      <c r="H29" s="44" t="s">
        <v>1</v>
      </c>
      <c r="I29" s="44" t="s">
        <v>1</v>
      </c>
      <c r="J29" s="44" t="s">
        <v>1</v>
      </c>
      <c r="K29" s="44" t="s">
        <v>1</v>
      </c>
      <c r="L29" s="44" t="s">
        <v>2</v>
      </c>
      <c r="M29" s="44" t="s">
        <v>2</v>
      </c>
      <c r="N29" s="44" t="s">
        <v>2</v>
      </c>
      <c r="O29" s="44" t="s">
        <v>2</v>
      </c>
      <c r="P29" s="44" t="s">
        <v>2</v>
      </c>
      <c r="Q29" s="44" t="s">
        <v>3</v>
      </c>
      <c r="R29" s="44" t="s">
        <v>3</v>
      </c>
      <c r="S29" s="44" t="s">
        <v>3</v>
      </c>
      <c r="T29" s="44" t="s">
        <v>3</v>
      </c>
      <c r="U29" s="74" t="s">
        <v>3</v>
      </c>
      <c r="V29" s="146"/>
    </row>
    <row r="30" spans="1:22" ht="147" customHeight="1">
      <c r="A30" s="47" t="s">
        <v>36</v>
      </c>
      <c r="B30" s="48" t="s">
        <v>208</v>
      </c>
      <c r="C30" s="48" t="s">
        <v>208</v>
      </c>
      <c r="D30" s="48" t="s">
        <v>208</v>
      </c>
      <c r="E30" s="48" t="s">
        <v>208</v>
      </c>
      <c r="F30" s="48" t="s">
        <v>208</v>
      </c>
      <c r="G30" s="48" t="s">
        <v>208</v>
      </c>
      <c r="H30" s="48" t="s">
        <v>208</v>
      </c>
      <c r="I30" s="48" t="s">
        <v>208</v>
      </c>
      <c r="J30" s="48" t="s">
        <v>209</v>
      </c>
      <c r="K30" s="48" t="s">
        <v>209</v>
      </c>
      <c r="L30" s="48" t="s">
        <v>209</v>
      </c>
      <c r="M30" s="48" t="s">
        <v>209</v>
      </c>
      <c r="N30" s="48" t="s">
        <v>209</v>
      </c>
      <c r="O30" s="48" t="s">
        <v>209</v>
      </c>
      <c r="P30" s="48" t="s">
        <v>209</v>
      </c>
      <c r="Q30" s="48" t="s">
        <v>209</v>
      </c>
      <c r="R30" s="48" t="s">
        <v>209</v>
      </c>
      <c r="S30" s="48" t="s">
        <v>209</v>
      </c>
      <c r="T30" s="48" t="s">
        <v>209</v>
      </c>
      <c r="U30" s="70" t="s">
        <v>209</v>
      </c>
      <c r="V30" s="146"/>
    </row>
    <row r="31" spans="1:22" ht="15">
      <c r="A31" s="50" t="s">
        <v>158</v>
      </c>
      <c r="B31" s="43"/>
      <c r="C31" s="43"/>
      <c r="D31" s="43"/>
      <c r="E31" s="43"/>
      <c r="F31" s="43"/>
      <c r="G31" s="43"/>
      <c r="H31" s="43"/>
      <c r="I31" s="43"/>
      <c r="J31" s="43"/>
      <c r="K31" s="43"/>
      <c r="L31" s="43"/>
      <c r="M31" s="43"/>
      <c r="N31" s="43"/>
      <c r="O31" s="43"/>
      <c r="P31" s="43"/>
      <c r="Q31" s="43"/>
      <c r="R31" s="43"/>
      <c r="S31" s="43"/>
      <c r="T31" s="43"/>
      <c r="U31" s="68"/>
      <c r="V31" s="146"/>
    </row>
    <row r="32" spans="1:22" ht="15">
      <c r="A32" s="50" t="s">
        <v>159</v>
      </c>
      <c r="B32" s="52">
        <v>17</v>
      </c>
      <c r="C32" s="52">
        <v>14.3</v>
      </c>
      <c r="D32" s="52">
        <v>11.9</v>
      </c>
      <c r="E32" s="52">
        <v>14.8</v>
      </c>
      <c r="F32" s="52">
        <v>12</v>
      </c>
      <c r="G32" s="52">
        <v>11.9</v>
      </c>
      <c r="H32" s="52">
        <v>9.8000000000000007</v>
      </c>
      <c r="I32" s="52">
        <v>8.8000000000000007</v>
      </c>
      <c r="J32" s="52">
        <v>10.8</v>
      </c>
      <c r="K32" s="52">
        <v>14.7</v>
      </c>
      <c r="L32" s="52">
        <v>14.6</v>
      </c>
      <c r="M32" s="52">
        <v>12.4</v>
      </c>
      <c r="N32" s="52">
        <v>10.8</v>
      </c>
      <c r="O32" s="52">
        <v>15.3</v>
      </c>
      <c r="P32" s="52">
        <v>11.1</v>
      </c>
      <c r="Q32" s="52">
        <v>13.2</v>
      </c>
      <c r="R32" s="52">
        <v>11.9</v>
      </c>
      <c r="S32" s="52">
        <v>13.7</v>
      </c>
      <c r="T32" s="52">
        <v>11.2</v>
      </c>
      <c r="U32" s="71">
        <v>8.6999999999999993</v>
      </c>
      <c r="V32" s="146"/>
    </row>
    <row r="33" spans="1:22" ht="15">
      <c r="A33" s="50" t="s">
        <v>160</v>
      </c>
      <c r="B33" s="52">
        <v>25.4</v>
      </c>
      <c r="C33" s="52">
        <v>25.7</v>
      </c>
      <c r="D33" s="52">
        <v>16.2</v>
      </c>
      <c r="E33" s="52">
        <v>21.6</v>
      </c>
      <c r="F33" s="52">
        <v>24.8</v>
      </c>
      <c r="G33" s="52">
        <v>16.7</v>
      </c>
      <c r="H33" s="52">
        <v>12.6</v>
      </c>
      <c r="I33" s="52">
        <v>18.600000000000001</v>
      </c>
      <c r="J33" s="52">
        <v>15.6</v>
      </c>
      <c r="K33" s="52">
        <v>19.2</v>
      </c>
      <c r="L33" s="52">
        <v>28.6</v>
      </c>
      <c r="M33" s="52">
        <v>23.5</v>
      </c>
      <c r="N33" s="52">
        <v>14.9</v>
      </c>
      <c r="O33" s="52">
        <v>23.7</v>
      </c>
      <c r="P33" s="52">
        <v>16.2</v>
      </c>
      <c r="Q33" s="52">
        <v>24.1</v>
      </c>
      <c r="R33" s="52">
        <v>16.3</v>
      </c>
      <c r="S33" s="52">
        <v>24.3</v>
      </c>
      <c r="T33" s="52">
        <v>15.7</v>
      </c>
      <c r="U33" s="71">
        <v>9.1999999999999993</v>
      </c>
      <c r="V33" s="146"/>
    </row>
    <row r="34" spans="1:22" ht="15">
      <c r="A34" s="54" t="s">
        <v>161</v>
      </c>
      <c r="B34" s="43">
        <v>1</v>
      </c>
      <c r="C34" s="43">
        <v>1</v>
      </c>
      <c r="D34" s="43">
        <v>1</v>
      </c>
      <c r="E34" s="43">
        <v>1</v>
      </c>
      <c r="F34" s="43">
        <v>1</v>
      </c>
      <c r="G34" s="43">
        <v>1</v>
      </c>
      <c r="H34" s="43">
        <v>1</v>
      </c>
      <c r="I34" s="43">
        <v>1</v>
      </c>
      <c r="J34" s="43">
        <v>1</v>
      </c>
      <c r="K34" s="43">
        <v>1</v>
      </c>
      <c r="L34" s="43">
        <v>1</v>
      </c>
      <c r="M34" s="43">
        <v>1</v>
      </c>
      <c r="N34" s="43">
        <v>1</v>
      </c>
      <c r="O34" s="43">
        <v>1</v>
      </c>
      <c r="P34" s="43">
        <v>1</v>
      </c>
      <c r="Q34" s="43">
        <v>1</v>
      </c>
      <c r="R34" s="43">
        <v>1</v>
      </c>
      <c r="S34" s="43">
        <v>1</v>
      </c>
      <c r="T34" s="43">
        <v>1</v>
      </c>
      <c r="U34" s="68">
        <v>1</v>
      </c>
      <c r="V34" s="146"/>
    </row>
    <row r="35" spans="1:22" ht="15">
      <c r="A35" s="54" t="s">
        <v>162</v>
      </c>
      <c r="B35" s="43">
        <v>1</v>
      </c>
      <c r="C35" s="43">
        <v>1</v>
      </c>
      <c r="D35" s="43">
        <v>1</v>
      </c>
      <c r="E35" s="43">
        <v>1</v>
      </c>
      <c r="F35" s="43">
        <v>1</v>
      </c>
      <c r="G35" s="43">
        <v>1</v>
      </c>
      <c r="H35" s="43">
        <v>1</v>
      </c>
      <c r="I35" s="43">
        <v>1</v>
      </c>
      <c r="J35" s="43">
        <v>1</v>
      </c>
      <c r="K35" s="43">
        <v>1</v>
      </c>
      <c r="L35" s="43">
        <v>1</v>
      </c>
      <c r="M35" s="43">
        <v>1</v>
      </c>
      <c r="N35" s="43">
        <v>1</v>
      </c>
      <c r="O35" s="43">
        <v>1</v>
      </c>
      <c r="P35" s="43">
        <v>1</v>
      </c>
      <c r="Q35" s="43">
        <v>1</v>
      </c>
      <c r="R35" s="43">
        <v>1</v>
      </c>
      <c r="S35" s="43">
        <v>1</v>
      </c>
      <c r="T35" s="43">
        <v>1</v>
      </c>
      <c r="U35" s="68">
        <v>1</v>
      </c>
      <c r="V35" s="146"/>
    </row>
    <row r="36" spans="1:22" ht="15">
      <c r="A36" s="54" t="s">
        <v>163</v>
      </c>
      <c r="B36" s="43">
        <v>1</v>
      </c>
      <c r="C36" s="43">
        <v>1</v>
      </c>
      <c r="D36" s="43">
        <v>1</v>
      </c>
      <c r="E36" s="43">
        <v>1</v>
      </c>
      <c r="F36" s="43">
        <v>1</v>
      </c>
      <c r="G36" s="43">
        <v>1</v>
      </c>
      <c r="H36" s="43">
        <v>1</v>
      </c>
      <c r="I36" s="43">
        <v>1</v>
      </c>
      <c r="J36" s="43">
        <v>1</v>
      </c>
      <c r="K36" s="43">
        <v>1</v>
      </c>
      <c r="L36" s="43">
        <v>1</v>
      </c>
      <c r="M36" s="43">
        <v>1</v>
      </c>
      <c r="N36" s="43">
        <v>1</v>
      </c>
      <c r="O36" s="43">
        <v>1</v>
      </c>
      <c r="P36" s="43">
        <v>1</v>
      </c>
      <c r="Q36" s="43">
        <v>1</v>
      </c>
      <c r="R36" s="43">
        <v>1</v>
      </c>
      <c r="S36" s="43">
        <v>1</v>
      </c>
      <c r="T36" s="43">
        <v>1</v>
      </c>
      <c r="U36" s="68">
        <v>1</v>
      </c>
      <c r="V36" s="146"/>
    </row>
    <row r="37" spans="1:22" ht="15">
      <c r="A37" s="54" t="s">
        <v>164</v>
      </c>
      <c r="B37" s="43">
        <v>1</v>
      </c>
      <c r="C37" s="43">
        <v>1</v>
      </c>
      <c r="D37" s="43">
        <v>1</v>
      </c>
      <c r="E37" s="43">
        <v>1</v>
      </c>
      <c r="F37" s="43">
        <v>1</v>
      </c>
      <c r="G37" s="43">
        <v>1</v>
      </c>
      <c r="H37" s="43">
        <v>1</v>
      </c>
      <c r="I37" s="43">
        <v>1</v>
      </c>
      <c r="J37" s="43">
        <v>1</v>
      </c>
      <c r="K37" s="43">
        <v>1</v>
      </c>
      <c r="L37" s="43">
        <v>1</v>
      </c>
      <c r="M37" s="43">
        <v>1</v>
      </c>
      <c r="N37" s="43">
        <v>1</v>
      </c>
      <c r="O37" s="43">
        <v>1</v>
      </c>
      <c r="P37" s="43">
        <v>1</v>
      </c>
      <c r="Q37" s="43">
        <v>1</v>
      </c>
      <c r="R37" s="43">
        <v>1</v>
      </c>
      <c r="S37" s="43">
        <v>1</v>
      </c>
      <c r="T37" s="43">
        <v>1</v>
      </c>
      <c r="U37" s="68">
        <v>1</v>
      </c>
      <c r="V37" s="146"/>
    </row>
    <row r="38" spans="1:22" ht="15">
      <c r="A38" s="84" t="s">
        <v>165</v>
      </c>
      <c r="B38" s="72">
        <v>1</v>
      </c>
      <c r="C38" s="72">
        <v>1</v>
      </c>
      <c r="D38" s="72">
        <v>1</v>
      </c>
      <c r="E38" s="72">
        <v>1</v>
      </c>
      <c r="F38" s="72">
        <v>1</v>
      </c>
      <c r="G38" s="72">
        <v>1</v>
      </c>
      <c r="H38" s="72">
        <v>1</v>
      </c>
      <c r="I38" s="72">
        <v>1</v>
      </c>
      <c r="J38" s="72">
        <v>1</v>
      </c>
      <c r="K38" s="72">
        <v>1</v>
      </c>
      <c r="L38" s="72">
        <v>1</v>
      </c>
      <c r="M38" s="72">
        <v>1</v>
      </c>
      <c r="N38" s="72">
        <v>1</v>
      </c>
      <c r="O38" s="72">
        <v>1</v>
      </c>
      <c r="P38" s="72">
        <v>1</v>
      </c>
      <c r="Q38" s="72">
        <v>1</v>
      </c>
      <c r="R38" s="72">
        <v>1</v>
      </c>
      <c r="S38" s="72">
        <v>1</v>
      </c>
      <c r="T38" s="72">
        <v>1</v>
      </c>
      <c r="U38" s="73">
        <v>1</v>
      </c>
      <c r="V38" s="146"/>
    </row>
    <row r="39" spans="1:22" ht="15">
      <c r="A39" s="86" t="s">
        <v>166</v>
      </c>
      <c r="B39" s="44"/>
      <c r="C39" s="44"/>
      <c r="D39" s="44"/>
      <c r="E39" s="44"/>
      <c r="F39" s="44"/>
      <c r="G39" s="44"/>
      <c r="H39" s="44"/>
      <c r="I39" s="44"/>
      <c r="J39" s="44"/>
      <c r="K39" s="44"/>
      <c r="L39" s="44"/>
      <c r="M39" s="44"/>
      <c r="N39" s="44"/>
      <c r="O39" s="44"/>
      <c r="P39" s="44"/>
      <c r="Q39" s="44"/>
      <c r="R39" s="44"/>
      <c r="S39" s="44"/>
      <c r="T39" s="44"/>
      <c r="U39" s="74"/>
      <c r="V39" s="146"/>
    </row>
    <row r="40" spans="1:22" ht="15">
      <c r="A40" s="86" t="s">
        <v>167</v>
      </c>
      <c r="B40" s="44"/>
      <c r="C40" s="44"/>
      <c r="D40" s="44"/>
      <c r="E40" s="44"/>
      <c r="F40" s="44"/>
      <c r="G40" s="44"/>
      <c r="H40" s="44"/>
      <c r="I40" s="44"/>
      <c r="J40" s="44"/>
      <c r="K40" s="44"/>
      <c r="L40" s="44"/>
      <c r="M40" s="44"/>
      <c r="N40" s="44"/>
      <c r="O40" s="44"/>
      <c r="P40" s="44"/>
      <c r="Q40" s="44"/>
      <c r="R40" s="44"/>
      <c r="S40" s="44"/>
      <c r="T40" s="44"/>
      <c r="U40" s="74"/>
      <c r="V40" s="146"/>
    </row>
    <row r="41" spans="1:22" ht="15">
      <c r="A41" s="84" t="s">
        <v>168</v>
      </c>
      <c r="B41" s="72"/>
      <c r="C41" s="72"/>
      <c r="D41" s="72"/>
      <c r="E41" s="72"/>
      <c r="F41" s="72"/>
      <c r="G41" s="72"/>
      <c r="H41" s="72"/>
      <c r="I41" s="72"/>
      <c r="J41" s="72"/>
      <c r="K41" s="72"/>
      <c r="L41" s="72"/>
      <c r="M41" s="72"/>
      <c r="N41" s="72"/>
      <c r="O41" s="72"/>
      <c r="P41" s="72"/>
      <c r="Q41" s="72"/>
      <c r="R41" s="72"/>
      <c r="S41" s="72"/>
      <c r="T41" s="72"/>
      <c r="U41" s="73"/>
      <c r="V41" s="146"/>
    </row>
    <row r="42" spans="1:22" ht="15.75" thickBot="1">
      <c r="A42" s="88" t="s">
        <v>169</v>
      </c>
      <c r="B42" s="76"/>
      <c r="C42" s="76"/>
      <c r="D42" s="76"/>
      <c r="E42" s="76"/>
      <c r="F42" s="76"/>
      <c r="G42" s="76"/>
      <c r="H42" s="76"/>
      <c r="I42" s="76"/>
      <c r="J42" s="76"/>
      <c r="K42" s="76"/>
      <c r="L42" s="76"/>
      <c r="M42" s="76"/>
      <c r="N42" s="76"/>
      <c r="O42" s="76"/>
      <c r="P42" s="76"/>
      <c r="Q42" s="76"/>
      <c r="R42" s="76"/>
      <c r="S42" s="76"/>
      <c r="T42" s="76"/>
      <c r="U42" s="77"/>
      <c r="V42" s="146"/>
    </row>
    <row r="43" spans="1:22" ht="16.5" thickTop="1" thickBot="1">
      <c r="A43" s="90" t="s">
        <v>170</v>
      </c>
      <c r="B43" s="78"/>
      <c r="C43" s="78"/>
      <c r="D43" s="78"/>
      <c r="E43" s="78"/>
      <c r="F43" s="78"/>
      <c r="G43" s="78"/>
      <c r="H43" s="78"/>
      <c r="I43" s="78"/>
      <c r="J43" s="78"/>
      <c r="K43" s="78"/>
      <c r="L43" s="78"/>
      <c r="M43" s="78"/>
      <c r="N43" s="78"/>
      <c r="O43" s="78"/>
      <c r="P43" s="78"/>
      <c r="Q43" s="78"/>
      <c r="R43" s="78"/>
      <c r="S43" s="78"/>
      <c r="T43" s="78"/>
      <c r="U43" s="79"/>
      <c r="V43" s="146"/>
    </row>
    <row r="44" spans="1:22" ht="15">
      <c r="A44" s="147" t="s">
        <v>207</v>
      </c>
    </row>
  </sheetData>
  <phoneticPr fontId="5"/>
  <pageMargins left="0.7" right="0.7" top="0.75" bottom="0.75" header="0.3" footer="0.3"/>
  <pageSetup paperSize="9" scale="5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V44"/>
  <sheetViews>
    <sheetView view="pageBreakPreview" zoomScale="60" zoomScaleNormal="70" workbookViewId="0"/>
  </sheetViews>
  <sheetFormatPr defaultRowHeight="14.25"/>
  <cols>
    <col min="1" max="1" width="23.25" customWidth="1"/>
    <col min="2" max="21" width="6" customWidth="1"/>
    <col min="22" max="22" width="6.125" customWidth="1"/>
  </cols>
  <sheetData>
    <row r="1" spans="1:22">
      <c r="A1" s="33" t="s">
        <v>355</v>
      </c>
    </row>
    <row r="2" spans="1:22" ht="15">
      <c r="A2" s="1" t="s">
        <v>217</v>
      </c>
    </row>
    <row r="3" spans="1:22" ht="15">
      <c r="A3" s="37" t="s">
        <v>210</v>
      </c>
    </row>
    <row r="4" spans="1:22" ht="15.75" thickBot="1">
      <c r="A4" s="37" t="s">
        <v>211</v>
      </c>
    </row>
    <row r="5" spans="1:22" ht="15">
      <c r="A5" s="38" t="s">
        <v>155</v>
      </c>
      <c r="B5" s="142">
        <v>1</v>
      </c>
      <c r="C5" s="142">
        <v>2</v>
      </c>
      <c r="D5" s="143">
        <v>3</v>
      </c>
      <c r="E5" s="142">
        <v>4</v>
      </c>
      <c r="F5" s="143">
        <v>5</v>
      </c>
      <c r="G5" s="142">
        <v>6</v>
      </c>
      <c r="H5" s="144">
        <v>7</v>
      </c>
      <c r="I5" s="144">
        <v>8</v>
      </c>
      <c r="J5" s="142">
        <v>9</v>
      </c>
      <c r="K5" s="145">
        <v>10</v>
      </c>
      <c r="L5" s="142">
        <v>11</v>
      </c>
      <c r="M5" s="142">
        <v>12</v>
      </c>
      <c r="N5" s="142">
        <v>13</v>
      </c>
      <c r="O5" s="142">
        <v>14</v>
      </c>
      <c r="P5" s="142">
        <v>15</v>
      </c>
      <c r="Q5" s="142">
        <v>16</v>
      </c>
      <c r="R5" s="142">
        <v>17</v>
      </c>
      <c r="S5" s="142">
        <v>18</v>
      </c>
      <c r="T5" s="142">
        <v>19</v>
      </c>
      <c r="U5" s="145">
        <v>20</v>
      </c>
      <c r="V5" s="146"/>
    </row>
    <row r="6" spans="1:22" ht="15">
      <c r="A6" s="54" t="s">
        <v>156</v>
      </c>
      <c r="B6" s="43" t="s">
        <v>2</v>
      </c>
      <c r="C6" s="43" t="s">
        <v>2</v>
      </c>
      <c r="D6" s="43" t="s">
        <v>2</v>
      </c>
      <c r="E6" s="43" t="s">
        <v>2</v>
      </c>
      <c r="F6" s="43" t="s">
        <v>2</v>
      </c>
      <c r="G6" s="43" t="s">
        <v>1</v>
      </c>
      <c r="H6" s="44" t="s">
        <v>1</v>
      </c>
      <c r="I6" s="44" t="s">
        <v>1</v>
      </c>
      <c r="J6" s="43" t="s">
        <v>1</v>
      </c>
      <c r="K6" s="68" t="s">
        <v>1</v>
      </c>
      <c r="L6" s="43" t="s">
        <v>0</v>
      </c>
      <c r="M6" s="43" t="s">
        <v>0</v>
      </c>
      <c r="N6" s="43" t="s">
        <v>0</v>
      </c>
      <c r="O6" s="43" t="s">
        <v>0</v>
      </c>
      <c r="P6" s="43" t="s">
        <v>0</v>
      </c>
      <c r="Q6" s="43" t="s">
        <v>3</v>
      </c>
      <c r="R6" s="43" t="s">
        <v>3</v>
      </c>
      <c r="S6" s="43" t="s">
        <v>3</v>
      </c>
      <c r="T6" s="43" t="s">
        <v>3</v>
      </c>
      <c r="U6" s="68" t="s">
        <v>3</v>
      </c>
      <c r="V6" s="146"/>
    </row>
    <row r="7" spans="1:22" ht="149.25" customHeight="1">
      <c r="A7" s="47" t="s">
        <v>36</v>
      </c>
      <c r="B7" s="48" t="s">
        <v>212</v>
      </c>
      <c r="C7" s="48" t="s">
        <v>212</v>
      </c>
      <c r="D7" s="48" t="s">
        <v>213</v>
      </c>
      <c r="E7" s="48" t="s">
        <v>215</v>
      </c>
      <c r="F7" s="48" t="s">
        <v>213</v>
      </c>
      <c r="G7" s="48" t="s">
        <v>212</v>
      </c>
      <c r="H7" s="48" t="s">
        <v>212</v>
      </c>
      <c r="I7" s="48" t="s">
        <v>212</v>
      </c>
      <c r="J7" s="48" t="s">
        <v>212</v>
      </c>
      <c r="K7" s="48" t="s">
        <v>212</v>
      </c>
      <c r="L7" s="48" t="s">
        <v>212</v>
      </c>
      <c r="M7" s="48" t="s">
        <v>212</v>
      </c>
      <c r="N7" s="48" t="s">
        <v>212</v>
      </c>
      <c r="O7" s="48" t="s">
        <v>212</v>
      </c>
      <c r="P7" s="48" t="s">
        <v>212</v>
      </c>
      <c r="Q7" s="48" t="s">
        <v>212</v>
      </c>
      <c r="R7" s="48" t="s">
        <v>216</v>
      </c>
      <c r="S7" s="48" t="s">
        <v>214</v>
      </c>
      <c r="T7" s="48" t="s">
        <v>214</v>
      </c>
      <c r="U7" s="48" t="s">
        <v>213</v>
      </c>
      <c r="V7" s="146"/>
    </row>
    <row r="8" spans="1:22" ht="15">
      <c r="A8" s="50" t="s">
        <v>158</v>
      </c>
      <c r="B8" s="43"/>
      <c r="C8" s="43"/>
      <c r="D8" s="43"/>
      <c r="E8" s="43"/>
      <c r="F8" s="43"/>
      <c r="G8" s="43"/>
      <c r="H8" s="43"/>
      <c r="I8" s="43"/>
      <c r="J8" s="43"/>
      <c r="K8" s="68"/>
      <c r="L8" s="43"/>
      <c r="M8" s="43"/>
      <c r="N8" s="43"/>
      <c r="O8" s="43"/>
      <c r="P8" s="43"/>
      <c r="Q8" s="43"/>
      <c r="R8" s="43"/>
      <c r="S8" s="43"/>
      <c r="T8" s="43"/>
      <c r="U8" s="68"/>
      <c r="V8" s="146"/>
    </row>
    <row r="9" spans="1:22" ht="15">
      <c r="A9" s="50" t="s">
        <v>159</v>
      </c>
      <c r="B9" s="52">
        <v>12.5</v>
      </c>
      <c r="C9" s="52">
        <v>11.5</v>
      </c>
      <c r="D9" s="52">
        <v>7</v>
      </c>
      <c r="E9" s="52">
        <v>7.5</v>
      </c>
      <c r="F9" s="52">
        <v>6.7</v>
      </c>
      <c r="G9" s="52">
        <v>10.5</v>
      </c>
      <c r="H9" s="52">
        <v>10.5</v>
      </c>
      <c r="I9" s="52">
        <v>10.5</v>
      </c>
      <c r="J9" s="52">
        <v>10.5</v>
      </c>
      <c r="K9" s="71">
        <v>8.5</v>
      </c>
      <c r="L9" s="52">
        <v>10.3</v>
      </c>
      <c r="M9" s="52">
        <v>10.8</v>
      </c>
      <c r="N9" s="52">
        <v>10.5</v>
      </c>
      <c r="O9" s="52">
        <v>7</v>
      </c>
      <c r="P9" s="52">
        <v>8.5</v>
      </c>
      <c r="Q9" s="52">
        <v>11.5</v>
      </c>
      <c r="R9" s="52">
        <v>4.5</v>
      </c>
      <c r="S9" s="52">
        <v>7.5</v>
      </c>
      <c r="T9" s="52">
        <v>4</v>
      </c>
      <c r="U9" s="71">
        <v>9.5</v>
      </c>
      <c r="V9" s="146"/>
    </row>
    <row r="10" spans="1:22" ht="15">
      <c r="A10" s="50" t="s">
        <v>160</v>
      </c>
      <c r="B10" s="52">
        <v>20.2</v>
      </c>
      <c r="C10" s="52">
        <v>30.2</v>
      </c>
      <c r="D10" s="52">
        <v>5.5</v>
      </c>
      <c r="E10" s="52">
        <v>11.9</v>
      </c>
      <c r="F10" s="52">
        <v>7.2</v>
      </c>
      <c r="G10" s="52">
        <v>20.399999999999999</v>
      </c>
      <c r="H10" s="52">
        <v>17.8</v>
      </c>
      <c r="I10" s="52">
        <v>18.7</v>
      </c>
      <c r="J10" s="52">
        <v>25.9</v>
      </c>
      <c r="K10" s="71">
        <v>12</v>
      </c>
      <c r="L10" s="52">
        <v>21.8</v>
      </c>
      <c r="M10" s="52">
        <v>11.9</v>
      </c>
      <c r="N10" s="52">
        <v>17.7</v>
      </c>
      <c r="O10" s="52">
        <v>15.3</v>
      </c>
      <c r="P10" s="52">
        <v>11.5</v>
      </c>
      <c r="Q10" s="52">
        <v>24.6</v>
      </c>
      <c r="R10" s="52">
        <v>3.6</v>
      </c>
      <c r="S10" s="52">
        <v>10.5</v>
      </c>
      <c r="T10" s="52">
        <v>7.7</v>
      </c>
      <c r="U10" s="71">
        <v>9.3000000000000007</v>
      </c>
      <c r="V10" s="146"/>
    </row>
    <row r="11" spans="1:22" ht="15">
      <c r="A11" s="54" t="s">
        <v>161</v>
      </c>
      <c r="B11" s="43"/>
      <c r="C11" s="43"/>
      <c r="D11" s="43"/>
      <c r="E11" s="43"/>
      <c r="F11" s="43"/>
      <c r="G11" s="43"/>
      <c r="H11" s="43">
        <v>1</v>
      </c>
      <c r="I11" s="43">
        <v>1</v>
      </c>
      <c r="J11" s="43"/>
      <c r="K11" s="68"/>
      <c r="L11" s="43"/>
      <c r="M11" s="43"/>
      <c r="N11" s="43">
        <v>1</v>
      </c>
      <c r="O11" s="43">
        <v>1</v>
      </c>
      <c r="P11" s="43">
        <v>1</v>
      </c>
      <c r="Q11" s="43"/>
      <c r="R11" s="43">
        <v>2</v>
      </c>
      <c r="S11" s="43"/>
      <c r="T11" s="43"/>
      <c r="U11" s="68"/>
      <c r="V11" s="146"/>
    </row>
    <row r="12" spans="1:22" ht="15">
      <c r="A12" s="54" t="s">
        <v>162</v>
      </c>
      <c r="B12" s="43">
        <v>1</v>
      </c>
      <c r="C12" s="43"/>
      <c r="D12" s="43">
        <v>1</v>
      </c>
      <c r="E12" s="43"/>
      <c r="F12" s="43">
        <v>1</v>
      </c>
      <c r="G12" s="43">
        <v>1</v>
      </c>
      <c r="H12" s="43">
        <v>1</v>
      </c>
      <c r="I12" s="43">
        <v>1</v>
      </c>
      <c r="J12" s="43">
        <v>1</v>
      </c>
      <c r="K12" s="68"/>
      <c r="L12" s="43">
        <v>1</v>
      </c>
      <c r="M12" s="43">
        <v>1</v>
      </c>
      <c r="N12" s="43">
        <v>1</v>
      </c>
      <c r="O12" s="43">
        <v>1</v>
      </c>
      <c r="P12" s="43">
        <v>1</v>
      </c>
      <c r="Q12" s="43"/>
      <c r="R12" s="43">
        <v>2</v>
      </c>
      <c r="S12" s="43"/>
      <c r="T12" s="43"/>
      <c r="U12" s="68"/>
      <c r="V12" s="146"/>
    </row>
    <row r="13" spans="1:22" ht="15">
      <c r="A13" s="54" t="s">
        <v>163</v>
      </c>
      <c r="B13" s="43"/>
      <c r="C13" s="43"/>
      <c r="D13" s="43"/>
      <c r="E13" s="43"/>
      <c r="F13" s="43"/>
      <c r="G13" s="43">
        <v>1</v>
      </c>
      <c r="H13" s="43">
        <v>1</v>
      </c>
      <c r="I13" s="43">
        <v>1</v>
      </c>
      <c r="J13" s="43"/>
      <c r="K13" s="68"/>
      <c r="L13" s="43"/>
      <c r="M13" s="43"/>
      <c r="N13" s="43"/>
      <c r="O13" s="43"/>
      <c r="P13" s="43"/>
      <c r="Q13" s="43"/>
      <c r="R13" s="43"/>
      <c r="S13" s="43"/>
      <c r="T13" s="43"/>
      <c r="U13" s="68"/>
      <c r="V13" s="146"/>
    </row>
    <row r="14" spans="1:22" ht="15">
      <c r="A14" s="54" t="s">
        <v>164</v>
      </c>
      <c r="B14" s="43"/>
      <c r="C14" s="43"/>
      <c r="D14" s="43"/>
      <c r="E14" s="43"/>
      <c r="F14" s="43"/>
      <c r="G14" s="43"/>
      <c r="H14" s="43">
        <v>1</v>
      </c>
      <c r="I14" s="43">
        <v>1</v>
      </c>
      <c r="J14" s="43"/>
      <c r="K14" s="68"/>
      <c r="L14" s="43"/>
      <c r="M14" s="43"/>
      <c r="N14" s="43">
        <v>1</v>
      </c>
      <c r="O14" s="43">
        <v>1</v>
      </c>
      <c r="P14" s="43">
        <v>1</v>
      </c>
      <c r="Q14" s="43"/>
      <c r="R14" s="43">
        <v>2</v>
      </c>
      <c r="S14" s="43"/>
      <c r="T14" s="43"/>
      <c r="U14" s="68"/>
      <c r="V14" s="146"/>
    </row>
    <row r="15" spans="1:22" ht="15">
      <c r="A15" s="84" t="s">
        <v>165</v>
      </c>
      <c r="B15" s="72">
        <v>1</v>
      </c>
      <c r="C15" s="72"/>
      <c r="D15" s="72"/>
      <c r="E15" s="72"/>
      <c r="F15" s="72"/>
      <c r="G15" s="72"/>
      <c r="H15" s="72">
        <v>1</v>
      </c>
      <c r="I15" s="72">
        <v>1</v>
      </c>
      <c r="J15" s="72"/>
      <c r="K15" s="73"/>
      <c r="L15" s="72"/>
      <c r="M15" s="72"/>
      <c r="N15" s="72">
        <v>2</v>
      </c>
      <c r="O15" s="72">
        <v>1</v>
      </c>
      <c r="P15" s="72">
        <v>1</v>
      </c>
      <c r="Q15" s="72"/>
      <c r="R15" s="72"/>
      <c r="S15" s="72"/>
      <c r="T15" s="72"/>
      <c r="U15" s="73"/>
      <c r="V15" s="146"/>
    </row>
    <row r="16" spans="1:22" ht="15">
      <c r="A16" s="86" t="s">
        <v>166</v>
      </c>
      <c r="B16" s="44"/>
      <c r="C16" s="44"/>
      <c r="D16" s="44"/>
      <c r="E16" s="44"/>
      <c r="F16" s="44"/>
      <c r="G16" s="44"/>
      <c r="H16" s="44"/>
      <c r="I16" s="44"/>
      <c r="J16" s="44"/>
      <c r="K16" s="74"/>
      <c r="L16" s="44"/>
      <c r="M16" s="44"/>
      <c r="N16" s="44"/>
      <c r="O16" s="44"/>
      <c r="P16" s="44"/>
      <c r="Q16" s="44"/>
      <c r="R16" s="44"/>
      <c r="S16" s="44"/>
      <c r="T16" s="44"/>
      <c r="U16" s="74"/>
      <c r="V16" s="146"/>
    </row>
    <row r="17" spans="1:22" ht="15">
      <c r="A17" s="86" t="s">
        <v>167</v>
      </c>
      <c r="B17" s="44"/>
      <c r="C17" s="44"/>
      <c r="D17" s="44"/>
      <c r="E17" s="44"/>
      <c r="F17" s="44"/>
      <c r="G17" s="44"/>
      <c r="H17" s="44"/>
      <c r="I17" s="44"/>
      <c r="J17" s="44"/>
      <c r="K17" s="74"/>
      <c r="L17" s="44"/>
      <c r="M17" s="44"/>
      <c r="N17" s="44"/>
      <c r="O17" s="44"/>
      <c r="P17" s="44"/>
      <c r="Q17" s="44"/>
      <c r="R17" s="44"/>
      <c r="S17" s="44"/>
      <c r="T17" s="44"/>
      <c r="U17" s="74"/>
      <c r="V17" s="146"/>
    </row>
    <row r="18" spans="1:22" ht="15">
      <c r="A18" s="84" t="s">
        <v>168</v>
      </c>
      <c r="B18" s="72"/>
      <c r="C18" s="72"/>
      <c r="D18" s="72"/>
      <c r="E18" s="72"/>
      <c r="F18" s="72"/>
      <c r="G18" s="72"/>
      <c r="H18" s="72"/>
      <c r="I18" s="72"/>
      <c r="J18" s="72"/>
      <c r="K18" s="73"/>
      <c r="L18" s="72"/>
      <c r="M18" s="72"/>
      <c r="N18" s="72"/>
      <c r="O18" s="72"/>
      <c r="P18" s="72"/>
      <c r="Q18" s="72"/>
      <c r="R18" s="72"/>
      <c r="S18" s="72"/>
      <c r="T18" s="72"/>
      <c r="U18" s="73"/>
      <c r="V18" s="146"/>
    </row>
    <row r="19" spans="1:22" ht="15.75" thickBot="1">
      <c r="A19" s="88" t="s">
        <v>169</v>
      </c>
      <c r="B19" s="76"/>
      <c r="C19" s="76"/>
      <c r="D19" s="76"/>
      <c r="E19" s="76"/>
      <c r="F19" s="76"/>
      <c r="G19" s="76"/>
      <c r="H19" s="76"/>
      <c r="I19" s="76"/>
      <c r="J19" s="76"/>
      <c r="K19" s="77"/>
      <c r="L19" s="76"/>
      <c r="M19" s="76"/>
      <c r="N19" s="76"/>
      <c r="O19" s="76"/>
      <c r="P19" s="76"/>
      <c r="Q19" s="76"/>
      <c r="R19" s="76"/>
      <c r="S19" s="76"/>
      <c r="T19" s="76"/>
      <c r="U19" s="77"/>
      <c r="V19" s="146"/>
    </row>
    <row r="20" spans="1:22" ht="16.5" thickTop="1" thickBot="1">
      <c r="A20" s="90" t="s">
        <v>182</v>
      </c>
      <c r="B20" s="78"/>
      <c r="C20" s="78"/>
      <c r="D20" s="78"/>
      <c r="E20" s="78"/>
      <c r="F20" s="78"/>
      <c r="G20" s="78"/>
      <c r="H20" s="150"/>
      <c r="I20" s="150"/>
      <c r="J20" s="150"/>
      <c r="K20" s="151"/>
      <c r="L20" s="150"/>
      <c r="M20" s="150"/>
      <c r="N20" s="150"/>
      <c r="O20" s="150"/>
      <c r="P20" s="150"/>
      <c r="Q20" s="150"/>
      <c r="R20" s="150"/>
      <c r="S20" s="78"/>
      <c r="T20" s="78"/>
      <c r="U20" s="79"/>
      <c r="V20" s="146"/>
    </row>
    <row r="21" spans="1:22" ht="15">
      <c r="A21" s="147" t="s">
        <v>181</v>
      </c>
    </row>
    <row r="24" spans="1:22">
      <c r="A24" s="33" t="s">
        <v>356</v>
      </c>
    </row>
    <row r="25" spans="1:22" ht="15">
      <c r="A25" s="1" t="s">
        <v>223</v>
      </c>
    </row>
    <row r="26" spans="1:22" ht="15">
      <c r="A26" s="37" t="s">
        <v>210</v>
      </c>
    </row>
    <row r="27" spans="1:22" ht="15.75" thickBot="1">
      <c r="A27" s="37" t="s">
        <v>211</v>
      </c>
    </row>
    <row r="28" spans="1:22" ht="15">
      <c r="A28" s="38" t="s">
        <v>155</v>
      </c>
      <c r="B28" s="142">
        <v>1</v>
      </c>
      <c r="C28" s="142">
        <v>2</v>
      </c>
      <c r="D28" s="143">
        <v>3</v>
      </c>
      <c r="E28" s="142">
        <v>4</v>
      </c>
      <c r="F28" s="143">
        <v>5</v>
      </c>
      <c r="G28" s="142">
        <v>6</v>
      </c>
      <c r="H28" s="144">
        <v>7</v>
      </c>
      <c r="I28" s="144">
        <v>8</v>
      </c>
      <c r="J28" s="144">
        <v>9</v>
      </c>
      <c r="K28" s="144">
        <v>10</v>
      </c>
      <c r="L28" s="144">
        <v>11</v>
      </c>
      <c r="M28" s="144">
        <v>12</v>
      </c>
      <c r="N28" s="144">
        <v>13</v>
      </c>
      <c r="O28" s="144">
        <v>14</v>
      </c>
      <c r="P28" s="144">
        <v>15</v>
      </c>
      <c r="Q28" s="144">
        <v>16</v>
      </c>
      <c r="R28" s="144">
        <v>17</v>
      </c>
      <c r="S28" s="144">
        <v>18</v>
      </c>
      <c r="T28" s="144">
        <v>19</v>
      </c>
      <c r="U28" s="149">
        <v>20</v>
      </c>
      <c r="V28" s="146"/>
    </row>
    <row r="29" spans="1:22" ht="15">
      <c r="A29" s="54" t="s">
        <v>156</v>
      </c>
      <c r="B29" s="43" t="s">
        <v>2</v>
      </c>
      <c r="C29" s="43" t="s">
        <v>2</v>
      </c>
      <c r="D29" s="43" t="s">
        <v>2</v>
      </c>
      <c r="E29" s="43" t="s">
        <v>2</v>
      </c>
      <c r="F29" s="43" t="s">
        <v>2</v>
      </c>
      <c r="G29" s="43" t="s">
        <v>1</v>
      </c>
      <c r="H29" s="44" t="s">
        <v>1</v>
      </c>
      <c r="I29" s="44" t="s">
        <v>1</v>
      </c>
      <c r="J29" s="44" t="s">
        <v>1</v>
      </c>
      <c r="K29" s="44" t="s">
        <v>1</v>
      </c>
      <c r="L29" s="44" t="s">
        <v>0</v>
      </c>
      <c r="M29" s="44" t="s">
        <v>0</v>
      </c>
      <c r="N29" s="44" t="s">
        <v>0</v>
      </c>
      <c r="O29" s="44" t="s">
        <v>0</v>
      </c>
      <c r="P29" s="44" t="s">
        <v>0</v>
      </c>
      <c r="Q29" s="44" t="s">
        <v>3</v>
      </c>
      <c r="R29" s="44" t="s">
        <v>3</v>
      </c>
      <c r="S29" s="44" t="s">
        <v>3</v>
      </c>
      <c r="T29" s="44" t="s">
        <v>3</v>
      </c>
      <c r="U29" s="74" t="s">
        <v>3</v>
      </c>
      <c r="V29" s="146"/>
    </row>
    <row r="30" spans="1:22" ht="147" customHeight="1">
      <c r="A30" s="47" t="s">
        <v>36</v>
      </c>
      <c r="B30" s="48" t="s">
        <v>218</v>
      </c>
      <c r="C30" s="48" t="s">
        <v>218</v>
      </c>
      <c r="D30" s="48" t="s">
        <v>219</v>
      </c>
      <c r="E30" s="48" t="s">
        <v>220</v>
      </c>
      <c r="F30" s="48" t="s">
        <v>221</v>
      </c>
      <c r="G30" s="48" t="s">
        <v>218</v>
      </c>
      <c r="H30" s="48" t="s">
        <v>214</v>
      </c>
      <c r="I30" s="48" t="s">
        <v>218</v>
      </c>
      <c r="J30" s="48" t="s">
        <v>218</v>
      </c>
      <c r="K30" s="48" t="s">
        <v>222</v>
      </c>
      <c r="L30" s="48" t="s">
        <v>218</v>
      </c>
      <c r="M30" s="48" t="s">
        <v>218</v>
      </c>
      <c r="N30" s="48" t="s">
        <v>218</v>
      </c>
      <c r="O30" s="48" t="s">
        <v>218</v>
      </c>
      <c r="P30" s="48" t="s">
        <v>220</v>
      </c>
      <c r="Q30" s="48" t="s">
        <v>218</v>
      </c>
      <c r="R30" s="48" t="s">
        <v>218</v>
      </c>
      <c r="S30" s="48" t="s">
        <v>218</v>
      </c>
      <c r="T30" s="48" t="s">
        <v>218</v>
      </c>
      <c r="U30" s="70" t="s">
        <v>218</v>
      </c>
      <c r="V30" s="146"/>
    </row>
    <row r="31" spans="1:22" ht="15">
      <c r="A31" s="50" t="s">
        <v>158</v>
      </c>
      <c r="B31" s="43"/>
      <c r="C31" s="43"/>
      <c r="D31" s="43"/>
      <c r="E31" s="43"/>
      <c r="F31" s="43"/>
      <c r="G31" s="43"/>
      <c r="H31" s="43"/>
      <c r="I31" s="43"/>
      <c r="J31" s="43"/>
      <c r="K31" s="43"/>
      <c r="L31" s="43"/>
      <c r="M31" s="43"/>
      <c r="N31" s="43"/>
      <c r="O31" s="43"/>
      <c r="P31" s="43"/>
      <c r="Q31" s="43"/>
      <c r="R31" s="43"/>
      <c r="S31" s="43"/>
      <c r="T31" s="43"/>
      <c r="U31" s="68"/>
      <c r="V31" s="146"/>
    </row>
    <row r="32" spans="1:22" ht="15">
      <c r="A32" s="50" t="s">
        <v>159</v>
      </c>
      <c r="B32" s="52">
        <v>1.3</v>
      </c>
      <c r="C32" s="52">
        <v>7.2</v>
      </c>
      <c r="D32" s="52">
        <v>8.5</v>
      </c>
      <c r="E32" s="52">
        <v>6.5</v>
      </c>
      <c r="F32" s="52">
        <v>5.9</v>
      </c>
      <c r="G32" s="52">
        <v>8.8000000000000007</v>
      </c>
      <c r="H32" s="52">
        <v>5.7</v>
      </c>
      <c r="I32" s="52">
        <v>7.5</v>
      </c>
      <c r="J32" s="52">
        <v>9.1</v>
      </c>
      <c r="K32" s="52">
        <v>9.8000000000000007</v>
      </c>
      <c r="L32" s="52">
        <v>7.7</v>
      </c>
      <c r="M32" s="52">
        <v>1.8</v>
      </c>
      <c r="N32" s="52">
        <v>6.8</v>
      </c>
      <c r="O32" s="52">
        <v>7.7</v>
      </c>
      <c r="P32" s="52">
        <v>6.5</v>
      </c>
      <c r="Q32" s="52">
        <v>8.5</v>
      </c>
      <c r="R32" s="52">
        <v>1</v>
      </c>
      <c r="S32" s="52">
        <v>9.5</v>
      </c>
      <c r="T32" s="52">
        <v>1.3</v>
      </c>
      <c r="U32" s="71">
        <v>7.6</v>
      </c>
      <c r="V32" s="146"/>
    </row>
    <row r="33" spans="1:22" ht="15">
      <c r="A33" s="50" t="s">
        <v>160</v>
      </c>
      <c r="B33" s="52">
        <v>18.5</v>
      </c>
      <c r="C33" s="52">
        <v>7.6</v>
      </c>
      <c r="D33" s="52">
        <v>7.1</v>
      </c>
      <c r="E33" s="52">
        <v>1.5</v>
      </c>
      <c r="F33" s="52">
        <v>6.1</v>
      </c>
      <c r="G33" s="52">
        <v>17.5</v>
      </c>
      <c r="H33" s="52">
        <v>8.3000000000000007</v>
      </c>
      <c r="I33" s="52">
        <v>16</v>
      </c>
      <c r="J33" s="52">
        <v>2.8</v>
      </c>
      <c r="K33" s="52">
        <v>13.7</v>
      </c>
      <c r="L33" s="52">
        <v>12.1</v>
      </c>
      <c r="M33" s="52">
        <v>21.8</v>
      </c>
      <c r="N33" s="52">
        <v>11.9</v>
      </c>
      <c r="O33" s="52">
        <v>8</v>
      </c>
      <c r="P33" s="52">
        <v>7.7</v>
      </c>
      <c r="Q33" s="52">
        <v>1.1000000000000001</v>
      </c>
      <c r="R33" s="52">
        <v>11.8</v>
      </c>
      <c r="S33" s="52">
        <v>17</v>
      </c>
      <c r="T33" s="52">
        <v>2</v>
      </c>
      <c r="U33" s="71">
        <v>15.7</v>
      </c>
      <c r="V33" s="146"/>
    </row>
    <row r="34" spans="1:22" ht="15">
      <c r="A34" s="54" t="s">
        <v>161</v>
      </c>
      <c r="B34" s="43"/>
      <c r="C34" s="43"/>
      <c r="D34" s="43"/>
      <c r="E34" s="43"/>
      <c r="F34" s="43"/>
      <c r="G34" s="43">
        <v>1</v>
      </c>
      <c r="H34" s="43"/>
      <c r="I34" s="43"/>
      <c r="J34" s="43">
        <v>1</v>
      </c>
      <c r="K34" s="43"/>
      <c r="L34" s="43"/>
      <c r="M34" s="43">
        <v>4</v>
      </c>
      <c r="N34" s="43"/>
      <c r="O34" s="43"/>
      <c r="P34" s="43"/>
      <c r="Q34" s="43"/>
      <c r="R34" s="43"/>
      <c r="S34" s="43"/>
      <c r="T34" s="43"/>
      <c r="U34" s="68"/>
      <c r="V34" s="146"/>
    </row>
    <row r="35" spans="1:22" ht="15">
      <c r="A35" s="54" t="s">
        <v>162</v>
      </c>
      <c r="B35" s="43"/>
      <c r="C35" s="43"/>
      <c r="D35" s="43"/>
      <c r="E35" s="43"/>
      <c r="F35" s="43"/>
      <c r="G35" s="43">
        <v>1</v>
      </c>
      <c r="H35" s="43"/>
      <c r="I35" s="43"/>
      <c r="J35" s="43">
        <v>1</v>
      </c>
      <c r="K35" s="43"/>
      <c r="L35" s="43"/>
      <c r="M35" s="43">
        <v>4</v>
      </c>
      <c r="N35" s="43"/>
      <c r="O35" s="43"/>
      <c r="P35" s="43"/>
      <c r="Q35" s="43"/>
      <c r="R35" s="43"/>
      <c r="S35" s="43"/>
      <c r="T35" s="43"/>
      <c r="U35" s="68"/>
      <c r="V35" s="146"/>
    </row>
    <row r="36" spans="1:22" ht="15">
      <c r="A36" s="54" t="s">
        <v>163</v>
      </c>
      <c r="B36" s="43"/>
      <c r="C36" s="43"/>
      <c r="D36" s="43"/>
      <c r="E36" s="43"/>
      <c r="F36" s="43"/>
      <c r="G36" s="43"/>
      <c r="H36" s="43"/>
      <c r="I36" s="43"/>
      <c r="J36" s="43"/>
      <c r="K36" s="43"/>
      <c r="L36" s="43"/>
      <c r="M36" s="43">
        <v>3</v>
      </c>
      <c r="N36" s="43"/>
      <c r="O36" s="43"/>
      <c r="P36" s="43"/>
      <c r="Q36" s="43"/>
      <c r="R36" s="43"/>
      <c r="S36" s="43"/>
      <c r="T36" s="43"/>
      <c r="U36" s="68"/>
      <c r="V36" s="146"/>
    </row>
    <row r="37" spans="1:22" ht="15">
      <c r="A37" s="54" t="s">
        <v>164</v>
      </c>
      <c r="B37" s="43"/>
      <c r="C37" s="43"/>
      <c r="D37" s="43"/>
      <c r="E37" s="43"/>
      <c r="F37" s="43"/>
      <c r="G37" s="43"/>
      <c r="H37" s="43"/>
      <c r="I37" s="43"/>
      <c r="J37" s="43"/>
      <c r="K37" s="43"/>
      <c r="L37" s="43"/>
      <c r="M37" s="43">
        <v>4</v>
      </c>
      <c r="N37" s="43"/>
      <c r="O37" s="43"/>
      <c r="P37" s="43"/>
      <c r="Q37" s="43"/>
      <c r="R37" s="43"/>
      <c r="S37" s="43"/>
      <c r="T37" s="43"/>
      <c r="U37" s="68"/>
      <c r="V37" s="146"/>
    </row>
    <row r="38" spans="1:22" ht="15">
      <c r="A38" s="84" t="s">
        <v>165</v>
      </c>
      <c r="B38" s="72"/>
      <c r="C38" s="72"/>
      <c r="D38" s="72"/>
      <c r="E38" s="72"/>
      <c r="F38" s="72"/>
      <c r="G38" s="72">
        <v>1</v>
      </c>
      <c r="H38" s="72"/>
      <c r="I38" s="72"/>
      <c r="J38" s="72"/>
      <c r="K38" s="72"/>
      <c r="L38" s="72"/>
      <c r="M38" s="72">
        <v>4</v>
      </c>
      <c r="N38" s="72"/>
      <c r="O38" s="72"/>
      <c r="P38" s="72"/>
      <c r="Q38" s="72"/>
      <c r="R38" s="72"/>
      <c r="S38" s="72"/>
      <c r="T38" s="72"/>
      <c r="U38" s="73"/>
      <c r="V38" s="146"/>
    </row>
    <row r="39" spans="1:22" ht="15">
      <c r="A39" s="86" t="s">
        <v>166</v>
      </c>
      <c r="B39" s="44"/>
      <c r="C39" s="44"/>
      <c r="D39" s="44"/>
      <c r="E39" s="44"/>
      <c r="F39" s="44"/>
      <c r="G39" s="44"/>
      <c r="H39" s="44"/>
      <c r="I39" s="44"/>
      <c r="J39" s="44"/>
      <c r="K39" s="44"/>
      <c r="L39" s="44"/>
      <c r="M39" s="44"/>
      <c r="N39" s="44"/>
      <c r="O39" s="44"/>
      <c r="P39" s="44"/>
      <c r="Q39" s="44"/>
      <c r="R39" s="44"/>
      <c r="S39" s="44"/>
      <c r="T39" s="44"/>
      <c r="U39" s="74"/>
      <c r="V39" s="146"/>
    </row>
    <row r="40" spans="1:22" ht="15">
      <c r="A40" s="86" t="s">
        <v>167</v>
      </c>
      <c r="B40" s="44"/>
      <c r="C40" s="44"/>
      <c r="D40" s="44"/>
      <c r="E40" s="44"/>
      <c r="F40" s="44"/>
      <c r="G40" s="44"/>
      <c r="H40" s="44"/>
      <c r="I40" s="44"/>
      <c r="J40" s="44"/>
      <c r="K40" s="44"/>
      <c r="L40" s="44"/>
      <c r="M40" s="44"/>
      <c r="N40" s="44"/>
      <c r="O40" s="44"/>
      <c r="P40" s="44"/>
      <c r="Q40" s="44"/>
      <c r="R40" s="44"/>
      <c r="S40" s="44"/>
      <c r="T40" s="44"/>
      <c r="U40" s="74"/>
      <c r="V40" s="146"/>
    </row>
    <row r="41" spans="1:22" ht="15">
      <c r="A41" s="84" t="s">
        <v>168</v>
      </c>
      <c r="B41" s="72"/>
      <c r="C41" s="72"/>
      <c r="D41" s="72"/>
      <c r="E41" s="72"/>
      <c r="F41" s="72"/>
      <c r="G41" s="72"/>
      <c r="H41" s="72"/>
      <c r="I41" s="72"/>
      <c r="J41" s="72"/>
      <c r="K41" s="72"/>
      <c r="L41" s="72"/>
      <c r="M41" s="72"/>
      <c r="N41" s="72"/>
      <c r="O41" s="72"/>
      <c r="P41" s="72"/>
      <c r="Q41" s="72"/>
      <c r="R41" s="72"/>
      <c r="S41" s="72"/>
      <c r="T41" s="72"/>
      <c r="U41" s="73"/>
      <c r="V41" s="146"/>
    </row>
    <row r="42" spans="1:22" ht="15.75" thickBot="1">
      <c r="A42" s="88" t="s">
        <v>169</v>
      </c>
      <c r="B42" s="76"/>
      <c r="C42" s="76"/>
      <c r="D42" s="76"/>
      <c r="E42" s="76"/>
      <c r="F42" s="76"/>
      <c r="G42" s="76"/>
      <c r="H42" s="76"/>
      <c r="I42" s="76"/>
      <c r="J42" s="76"/>
      <c r="K42" s="76"/>
      <c r="L42" s="76"/>
      <c r="M42" s="76"/>
      <c r="N42" s="76"/>
      <c r="O42" s="76"/>
      <c r="P42" s="76"/>
      <c r="Q42" s="76"/>
      <c r="R42" s="76"/>
      <c r="S42" s="76"/>
      <c r="T42" s="76"/>
      <c r="U42" s="77"/>
      <c r="V42" s="146"/>
    </row>
    <row r="43" spans="1:22" ht="16.5" thickTop="1" thickBot="1">
      <c r="A43" s="90" t="s">
        <v>170</v>
      </c>
      <c r="B43" s="78"/>
      <c r="C43" s="78"/>
      <c r="D43" s="78"/>
      <c r="E43" s="78"/>
      <c r="F43" s="78"/>
      <c r="G43" s="150"/>
      <c r="H43" s="150"/>
      <c r="I43" s="150"/>
      <c r="J43" s="150"/>
      <c r="K43" s="150"/>
      <c r="L43" s="150"/>
      <c r="M43" s="150"/>
      <c r="N43" s="150"/>
      <c r="O43" s="78"/>
      <c r="P43" s="78"/>
      <c r="Q43" s="78"/>
      <c r="R43" s="78"/>
      <c r="S43" s="78"/>
      <c r="T43" s="78"/>
      <c r="U43" s="79"/>
      <c r="V43" s="146"/>
    </row>
    <row r="44" spans="1:22" ht="15">
      <c r="A44" s="147" t="s">
        <v>181</v>
      </c>
    </row>
  </sheetData>
  <phoneticPr fontId="5"/>
  <pageMargins left="0.7" right="0.7" top="0.75" bottom="0.75" header="0.3" footer="0.3"/>
  <pageSetup paperSize="9" scale="5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V45"/>
  <sheetViews>
    <sheetView view="pageBreakPreview" zoomScale="60" zoomScaleNormal="70" workbookViewId="0"/>
  </sheetViews>
  <sheetFormatPr defaultRowHeight="14.25"/>
  <cols>
    <col min="1" max="1" width="23.25" customWidth="1"/>
    <col min="2" max="21" width="6" customWidth="1"/>
    <col min="22" max="22" width="6.125" customWidth="1"/>
  </cols>
  <sheetData>
    <row r="1" spans="1:22">
      <c r="A1" s="33" t="s">
        <v>357</v>
      </c>
    </row>
    <row r="2" spans="1:22" ht="15">
      <c r="A2" s="1" t="s">
        <v>224</v>
      </c>
    </row>
    <row r="3" spans="1:22" ht="15">
      <c r="A3" s="37" t="s">
        <v>210</v>
      </c>
    </row>
    <row r="4" spans="1:22" ht="15.75" thickBot="1">
      <c r="A4" s="37" t="s">
        <v>211</v>
      </c>
    </row>
    <row r="5" spans="1:22" ht="15">
      <c r="A5" s="38" t="s">
        <v>155</v>
      </c>
      <c r="B5" s="142">
        <v>1</v>
      </c>
      <c r="C5" s="142">
        <v>2</v>
      </c>
      <c r="D5" s="143">
        <v>3</v>
      </c>
      <c r="E5" s="142">
        <v>4</v>
      </c>
      <c r="F5" s="143">
        <v>5</v>
      </c>
      <c r="G5" s="142">
        <v>6</v>
      </c>
      <c r="H5" s="144">
        <v>7</v>
      </c>
      <c r="I5" s="144">
        <v>8</v>
      </c>
      <c r="J5" s="142">
        <v>9</v>
      </c>
      <c r="K5" s="145">
        <v>10</v>
      </c>
      <c r="L5" s="142">
        <v>11</v>
      </c>
      <c r="M5" s="142">
        <v>12</v>
      </c>
      <c r="N5" s="142">
        <v>13</v>
      </c>
      <c r="O5" s="142">
        <v>14</v>
      </c>
      <c r="P5" s="142">
        <v>15</v>
      </c>
      <c r="Q5" s="142">
        <v>16</v>
      </c>
      <c r="R5" s="142">
        <v>17</v>
      </c>
      <c r="S5" s="142">
        <v>18</v>
      </c>
      <c r="T5" s="142">
        <v>19</v>
      </c>
      <c r="U5" s="145">
        <v>20</v>
      </c>
      <c r="V5" s="146"/>
    </row>
    <row r="6" spans="1:22" ht="15">
      <c r="A6" s="54" t="s">
        <v>156</v>
      </c>
      <c r="B6" s="43" t="s">
        <v>2</v>
      </c>
      <c r="C6" s="43" t="s">
        <v>2</v>
      </c>
      <c r="D6" s="43" t="s">
        <v>2</v>
      </c>
      <c r="E6" s="43" t="s">
        <v>2</v>
      </c>
      <c r="F6" s="43" t="s">
        <v>2</v>
      </c>
      <c r="G6" s="43" t="s">
        <v>1</v>
      </c>
      <c r="H6" s="44" t="s">
        <v>1</v>
      </c>
      <c r="I6" s="44" t="s">
        <v>1</v>
      </c>
      <c r="J6" s="43" t="s">
        <v>1</v>
      </c>
      <c r="K6" s="68" t="s">
        <v>1</v>
      </c>
      <c r="L6" s="43" t="s">
        <v>0</v>
      </c>
      <c r="M6" s="43" t="s">
        <v>0</v>
      </c>
      <c r="N6" s="43" t="s">
        <v>0</v>
      </c>
      <c r="O6" s="43" t="s">
        <v>0</v>
      </c>
      <c r="P6" s="43" t="s">
        <v>0</v>
      </c>
      <c r="Q6" s="43" t="s">
        <v>3</v>
      </c>
      <c r="R6" s="43" t="s">
        <v>3</v>
      </c>
      <c r="S6" s="43" t="s">
        <v>3</v>
      </c>
      <c r="T6" s="43" t="s">
        <v>3</v>
      </c>
      <c r="U6" s="68" t="s">
        <v>3</v>
      </c>
      <c r="V6" s="146"/>
    </row>
    <row r="7" spans="1:22" ht="149.25" customHeight="1">
      <c r="A7" s="47" t="s">
        <v>36</v>
      </c>
      <c r="B7" s="48" t="s">
        <v>225</v>
      </c>
      <c r="C7" s="48" t="s">
        <v>226</v>
      </c>
      <c r="D7" s="48" t="s">
        <v>220</v>
      </c>
      <c r="E7" s="48" t="s">
        <v>226</v>
      </c>
      <c r="F7" s="48" t="s">
        <v>221</v>
      </c>
      <c r="G7" s="48" t="s">
        <v>218</v>
      </c>
      <c r="H7" s="48" t="s">
        <v>226</v>
      </c>
      <c r="I7" s="48" t="s">
        <v>218</v>
      </c>
      <c r="J7" s="48" t="s">
        <v>226</v>
      </c>
      <c r="K7" s="48" t="s">
        <v>227</v>
      </c>
      <c r="L7" s="48" t="s">
        <v>228</v>
      </c>
      <c r="M7" s="48" t="s">
        <v>227</v>
      </c>
      <c r="N7" s="48" t="s">
        <v>229</v>
      </c>
      <c r="O7" s="48" t="s">
        <v>228</v>
      </c>
      <c r="P7" s="48" t="s">
        <v>220</v>
      </c>
      <c r="Q7" s="48" t="s">
        <v>228</v>
      </c>
      <c r="R7" s="48" t="s">
        <v>226</v>
      </c>
      <c r="S7" s="48" t="s">
        <v>226</v>
      </c>
      <c r="T7" s="48" t="s">
        <v>226</v>
      </c>
      <c r="U7" s="48" t="s">
        <v>214</v>
      </c>
      <c r="V7" s="146"/>
    </row>
    <row r="8" spans="1:22" ht="15">
      <c r="A8" s="50" t="s">
        <v>158</v>
      </c>
      <c r="B8" s="43"/>
      <c r="C8" s="43"/>
      <c r="D8" s="43"/>
      <c r="E8" s="43"/>
      <c r="F8" s="43"/>
      <c r="G8" s="43"/>
      <c r="H8" s="43"/>
      <c r="I8" s="43"/>
      <c r="J8" s="43"/>
      <c r="K8" s="68"/>
      <c r="L8" s="43"/>
      <c r="M8" s="43"/>
      <c r="N8" s="43"/>
      <c r="O8" s="43"/>
      <c r="P8" s="43"/>
      <c r="Q8" s="43"/>
      <c r="R8" s="43"/>
      <c r="S8" s="43"/>
      <c r="T8" s="43"/>
      <c r="U8" s="68"/>
      <c r="V8" s="146"/>
    </row>
    <row r="9" spans="1:22" ht="15">
      <c r="A9" s="50" t="s">
        <v>159</v>
      </c>
      <c r="B9" s="52">
        <v>6</v>
      </c>
      <c r="C9" s="52">
        <v>3</v>
      </c>
      <c r="D9" s="52">
        <v>5</v>
      </c>
      <c r="E9" s="52">
        <v>2.5</v>
      </c>
      <c r="F9" s="52">
        <v>3.2</v>
      </c>
      <c r="G9" s="52">
        <v>5.2</v>
      </c>
      <c r="H9" s="52">
        <v>3</v>
      </c>
      <c r="I9" s="52">
        <v>7</v>
      </c>
      <c r="J9" s="52">
        <v>3.2</v>
      </c>
      <c r="K9" s="71">
        <v>3.4</v>
      </c>
      <c r="L9" s="52">
        <v>5</v>
      </c>
      <c r="M9" s="52">
        <v>4.1500000000000004</v>
      </c>
      <c r="N9" s="52">
        <v>4.3</v>
      </c>
      <c r="O9" s="52">
        <v>6.2</v>
      </c>
      <c r="P9" s="52">
        <v>6.8</v>
      </c>
      <c r="Q9" s="52">
        <v>5</v>
      </c>
      <c r="R9" s="52">
        <v>2</v>
      </c>
      <c r="S9" s="52">
        <v>2.5</v>
      </c>
      <c r="T9" s="52">
        <v>2</v>
      </c>
      <c r="U9" s="71">
        <v>3.2</v>
      </c>
      <c r="V9" s="146"/>
    </row>
    <row r="10" spans="1:22" ht="15">
      <c r="A10" s="50" t="s">
        <v>160</v>
      </c>
      <c r="B10" s="52">
        <v>8.1</v>
      </c>
      <c r="C10" s="52">
        <v>4.5</v>
      </c>
      <c r="D10" s="52">
        <v>6.9</v>
      </c>
      <c r="E10" s="52">
        <v>2.2000000000000002</v>
      </c>
      <c r="F10" s="52">
        <v>2.6</v>
      </c>
      <c r="G10" s="52">
        <v>6.1</v>
      </c>
      <c r="H10" s="52">
        <v>3.7</v>
      </c>
      <c r="I10" s="52">
        <v>10.6</v>
      </c>
      <c r="J10" s="52">
        <v>4.8</v>
      </c>
      <c r="K10" s="71">
        <v>3.5</v>
      </c>
      <c r="L10" s="52">
        <v>5</v>
      </c>
      <c r="M10" s="52">
        <v>5</v>
      </c>
      <c r="N10" s="52">
        <v>5.9</v>
      </c>
      <c r="O10" s="52">
        <v>12.3</v>
      </c>
      <c r="P10" s="52">
        <v>15.3</v>
      </c>
      <c r="Q10" s="52">
        <v>15</v>
      </c>
      <c r="R10" s="52">
        <v>2.9</v>
      </c>
      <c r="S10" s="52">
        <v>4.0999999999999996</v>
      </c>
      <c r="T10" s="52">
        <v>2.6</v>
      </c>
      <c r="U10" s="71">
        <v>3.4</v>
      </c>
      <c r="V10" s="146"/>
    </row>
    <row r="11" spans="1:22" ht="15">
      <c r="A11" s="54" t="s">
        <v>161</v>
      </c>
      <c r="B11" s="43"/>
      <c r="C11" s="43">
        <v>1</v>
      </c>
      <c r="D11" s="43">
        <v>1</v>
      </c>
      <c r="E11" s="43"/>
      <c r="F11" s="43"/>
      <c r="G11" s="43">
        <v>1</v>
      </c>
      <c r="H11" s="43"/>
      <c r="I11" s="43"/>
      <c r="J11" s="43"/>
      <c r="K11" s="68"/>
      <c r="L11" s="43"/>
      <c r="M11" s="43"/>
      <c r="N11" s="43">
        <v>1</v>
      </c>
      <c r="O11" s="43">
        <v>1</v>
      </c>
      <c r="P11" s="43"/>
      <c r="Q11" s="43"/>
      <c r="R11" s="43">
        <v>1</v>
      </c>
      <c r="S11" s="43">
        <v>1</v>
      </c>
      <c r="T11" s="43"/>
      <c r="U11" s="68"/>
      <c r="V11" s="146"/>
    </row>
    <row r="12" spans="1:22" ht="15">
      <c r="A12" s="54" t="s">
        <v>162</v>
      </c>
      <c r="B12" s="43"/>
      <c r="C12" s="43"/>
      <c r="D12" s="43"/>
      <c r="E12" s="43"/>
      <c r="F12" s="43"/>
      <c r="G12" s="43">
        <v>1</v>
      </c>
      <c r="H12" s="43"/>
      <c r="I12" s="43">
        <v>1</v>
      </c>
      <c r="J12" s="43"/>
      <c r="K12" s="68"/>
      <c r="L12" s="43">
        <v>1</v>
      </c>
      <c r="M12" s="43"/>
      <c r="N12" s="43">
        <v>1</v>
      </c>
      <c r="O12" s="43">
        <v>1</v>
      </c>
      <c r="P12" s="43"/>
      <c r="Q12" s="43"/>
      <c r="R12" s="43">
        <v>1</v>
      </c>
      <c r="S12" s="43">
        <v>1</v>
      </c>
      <c r="T12" s="43"/>
      <c r="U12" s="68">
        <v>1</v>
      </c>
      <c r="V12" s="146"/>
    </row>
    <row r="13" spans="1:22" ht="15">
      <c r="A13" s="54" t="s">
        <v>163</v>
      </c>
      <c r="B13" s="43"/>
      <c r="C13" s="43"/>
      <c r="D13" s="43"/>
      <c r="E13" s="43"/>
      <c r="F13" s="43"/>
      <c r="G13" s="43">
        <v>1</v>
      </c>
      <c r="H13" s="43"/>
      <c r="I13" s="43"/>
      <c r="J13" s="43"/>
      <c r="K13" s="68"/>
      <c r="L13" s="43"/>
      <c r="M13" s="43"/>
      <c r="N13" s="43"/>
      <c r="O13" s="43">
        <v>1</v>
      </c>
      <c r="P13" s="43"/>
      <c r="Q13" s="43"/>
      <c r="R13" s="43">
        <v>1</v>
      </c>
      <c r="S13" s="43">
        <v>1</v>
      </c>
      <c r="T13" s="43"/>
      <c r="U13" s="68"/>
      <c r="V13" s="146"/>
    </row>
    <row r="14" spans="1:22" ht="15">
      <c r="A14" s="54" t="s">
        <v>164</v>
      </c>
      <c r="B14" s="43"/>
      <c r="C14" s="43"/>
      <c r="D14" s="43"/>
      <c r="E14" s="43"/>
      <c r="F14" s="43"/>
      <c r="G14" s="43"/>
      <c r="H14" s="43"/>
      <c r="I14" s="43"/>
      <c r="J14" s="43"/>
      <c r="K14" s="68"/>
      <c r="L14" s="43"/>
      <c r="M14" s="43"/>
      <c r="N14" s="43"/>
      <c r="O14" s="43">
        <v>1</v>
      </c>
      <c r="P14" s="43"/>
      <c r="Q14" s="43"/>
      <c r="R14" s="43"/>
      <c r="S14" s="43"/>
      <c r="T14" s="43"/>
      <c r="U14" s="68">
        <v>1</v>
      </c>
      <c r="V14" s="146"/>
    </row>
    <row r="15" spans="1:22" ht="15">
      <c r="A15" s="84" t="s">
        <v>165</v>
      </c>
      <c r="B15" s="72"/>
      <c r="C15" s="72"/>
      <c r="D15" s="72"/>
      <c r="E15" s="72"/>
      <c r="F15" s="72"/>
      <c r="G15" s="72"/>
      <c r="H15" s="72"/>
      <c r="I15" s="72">
        <v>1</v>
      </c>
      <c r="J15" s="72"/>
      <c r="K15" s="73"/>
      <c r="L15" s="72"/>
      <c r="M15" s="72"/>
      <c r="N15" s="72">
        <v>1</v>
      </c>
      <c r="O15" s="72">
        <v>1</v>
      </c>
      <c r="P15" s="72"/>
      <c r="Q15" s="72"/>
      <c r="R15" s="72"/>
      <c r="S15" s="72"/>
      <c r="T15" s="72"/>
      <c r="U15" s="73"/>
      <c r="V15" s="146"/>
    </row>
    <row r="16" spans="1:22" ht="15">
      <c r="A16" s="86" t="s">
        <v>166</v>
      </c>
      <c r="B16" s="44"/>
      <c r="C16" s="44"/>
      <c r="D16" s="44"/>
      <c r="E16" s="44"/>
      <c r="F16" s="44"/>
      <c r="G16" s="44"/>
      <c r="H16" s="44"/>
      <c r="I16" s="44"/>
      <c r="J16" s="44"/>
      <c r="K16" s="74"/>
      <c r="L16" s="44"/>
      <c r="M16" s="44"/>
      <c r="N16" s="44">
        <v>1</v>
      </c>
      <c r="O16" s="44">
        <v>1</v>
      </c>
      <c r="P16" s="44"/>
      <c r="Q16" s="44"/>
      <c r="R16" s="44"/>
      <c r="S16" s="44"/>
      <c r="T16" s="44"/>
      <c r="U16" s="74"/>
      <c r="V16" s="146"/>
    </row>
    <row r="17" spans="1:22" ht="15">
      <c r="A17" s="86" t="s">
        <v>167</v>
      </c>
      <c r="B17" s="44"/>
      <c r="C17" s="44"/>
      <c r="D17" s="44"/>
      <c r="E17" s="44"/>
      <c r="F17" s="44"/>
      <c r="G17" s="44"/>
      <c r="H17" s="44"/>
      <c r="I17" s="44"/>
      <c r="J17" s="44"/>
      <c r="K17" s="74"/>
      <c r="L17" s="44"/>
      <c r="M17" s="44"/>
      <c r="N17" s="44"/>
      <c r="O17" s="44"/>
      <c r="P17" s="44"/>
      <c r="Q17" s="44"/>
      <c r="R17" s="44"/>
      <c r="S17" s="44"/>
      <c r="T17" s="44"/>
      <c r="U17" s="74"/>
      <c r="V17" s="146"/>
    </row>
    <row r="18" spans="1:22" ht="15">
      <c r="A18" s="84" t="s">
        <v>168</v>
      </c>
      <c r="B18" s="72"/>
      <c r="C18" s="72"/>
      <c r="D18" s="72"/>
      <c r="E18" s="72"/>
      <c r="F18" s="72"/>
      <c r="G18" s="72"/>
      <c r="H18" s="72"/>
      <c r="I18" s="72"/>
      <c r="J18" s="72"/>
      <c r="K18" s="73"/>
      <c r="L18" s="72"/>
      <c r="M18" s="72"/>
      <c r="N18" s="72"/>
      <c r="O18" s="72"/>
      <c r="P18" s="72"/>
      <c r="Q18" s="72"/>
      <c r="R18" s="72"/>
      <c r="S18" s="72"/>
      <c r="T18" s="72"/>
      <c r="U18" s="73"/>
      <c r="V18" s="146"/>
    </row>
    <row r="19" spans="1:22" ht="15.75" thickBot="1">
      <c r="A19" s="88" t="s">
        <v>169</v>
      </c>
      <c r="B19" s="76"/>
      <c r="C19" s="76"/>
      <c r="D19" s="76"/>
      <c r="E19" s="76"/>
      <c r="F19" s="76"/>
      <c r="G19" s="76"/>
      <c r="H19" s="76"/>
      <c r="I19" s="76"/>
      <c r="J19" s="76"/>
      <c r="K19" s="77"/>
      <c r="L19" s="76"/>
      <c r="M19" s="76"/>
      <c r="N19" s="76"/>
      <c r="O19" s="76"/>
      <c r="P19" s="76"/>
      <c r="Q19" s="76"/>
      <c r="R19" s="76"/>
      <c r="S19" s="76"/>
      <c r="T19" s="76"/>
      <c r="U19" s="77"/>
      <c r="V19" s="146"/>
    </row>
    <row r="20" spans="1:22" ht="16.5" thickTop="1" thickBot="1">
      <c r="A20" s="90" t="s">
        <v>170</v>
      </c>
      <c r="B20" s="78"/>
      <c r="C20" s="78"/>
      <c r="D20" s="78"/>
      <c r="E20" s="78"/>
      <c r="F20" s="78"/>
      <c r="G20" s="78"/>
      <c r="H20" s="150"/>
      <c r="I20" s="150"/>
      <c r="J20" s="150"/>
      <c r="K20" s="151"/>
      <c r="L20" s="150"/>
      <c r="M20" s="150"/>
      <c r="N20" s="150"/>
      <c r="O20" s="150"/>
      <c r="P20" s="150"/>
      <c r="Q20" s="150"/>
      <c r="R20" s="150"/>
      <c r="S20" s="78"/>
      <c r="T20" s="78"/>
      <c r="U20" s="79"/>
      <c r="V20" s="146"/>
    </row>
    <row r="21" spans="1:22" ht="15">
      <c r="A21" s="147" t="s">
        <v>181</v>
      </c>
    </row>
    <row r="24" spans="1:22" s="81" customFormat="1" ht="15" customHeight="1">
      <c r="A24" s="116" t="s">
        <v>358</v>
      </c>
      <c r="B24" s="117"/>
      <c r="C24" s="117"/>
      <c r="D24" s="117"/>
      <c r="E24" s="117"/>
      <c r="F24" s="117"/>
      <c r="G24" s="117"/>
      <c r="H24" s="117"/>
      <c r="I24" s="117"/>
      <c r="J24" s="117"/>
      <c r="K24" s="117"/>
      <c r="L24" s="117"/>
      <c r="M24" s="117"/>
      <c r="N24" s="117"/>
      <c r="O24" s="117"/>
      <c r="P24" s="117"/>
      <c r="Q24" s="117"/>
      <c r="R24" s="117"/>
      <c r="S24" s="117"/>
      <c r="T24" s="117"/>
      <c r="U24" s="117"/>
    </row>
    <row r="25" spans="1:22" s="81" customFormat="1" ht="15" customHeight="1">
      <c r="A25" s="118" t="s">
        <v>137</v>
      </c>
      <c r="B25" s="117"/>
      <c r="C25" s="117"/>
      <c r="D25" s="117"/>
      <c r="E25" s="117"/>
      <c r="F25" s="117"/>
      <c r="G25" s="117"/>
      <c r="H25" s="117"/>
      <c r="I25" s="117"/>
      <c r="J25" s="117"/>
      <c r="K25" s="117"/>
      <c r="L25" s="117"/>
      <c r="M25" s="117"/>
      <c r="N25" s="117"/>
      <c r="O25" s="117"/>
      <c r="P25" s="117"/>
      <c r="Q25" s="117"/>
      <c r="R25" s="117"/>
      <c r="S25" s="117"/>
      <c r="T25" s="117"/>
      <c r="U25" s="117"/>
    </row>
    <row r="26" spans="1:22" s="81" customFormat="1" ht="15" customHeight="1">
      <c r="A26" s="119" t="s">
        <v>149</v>
      </c>
      <c r="B26" s="117"/>
      <c r="C26" s="117"/>
      <c r="D26" s="117"/>
      <c r="E26" s="117"/>
      <c r="F26" s="117"/>
      <c r="G26" s="117"/>
      <c r="H26" s="117"/>
      <c r="I26" s="117"/>
      <c r="J26" s="117"/>
      <c r="K26" s="117"/>
      <c r="L26" s="117"/>
      <c r="M26" s="117"/>
      <c r="N26" s="117"/>
      <c r="O26" s="117"/>
      <c r="P26" s="117"/>
      <c r="Q26" s="117"/>
      <c r="R26" s="117"/>
      <c r="S26" s="117"/>
      <c r="T26" s="117"/>
      <c r="U26" s="117"/>
    </row>
    <row r="27" spans="1:22" s="81" customFormat="1" ht="15" customHeight="1" thickBot="1">
      <c r="A27" s="119" t="s">
        <v>150</v>
      </c>
      <c r="B27" s="117"/>
      <c r="C27" s="117"/>
      <c r="D27" s="117"/>
      <c r="E27" s="117"/>
      <c r="F27" s="117"/>
      <c r="G27" s="117"/>
      <c r="H27" s="117"/>
      <c r="I27" s="117"/>
      <c r="J27" s="117"/>
      <c r="K27" s="117"/>
      <c r="L27" s="117"/>
      <c r="M27" s="117"/>
      <c r="N27" s="117"/>
      <c r="O27" s="117"/>
      <c r="P27" s="117"/>
      <c r="Q27" s="117"/>
      <c r="R27" s="117"/>
      <c r="S27" s="117"/>
      <c r="T27" s="117"/>
      <c r="U27" s="117"/>
    </row>
    <row r="28" spans="1:22" s="81" customFormat="1" ht="15" customHeight="1">
      <c r="A28" s="120" t="s">
        <v>30</v>
      </c>
      <c r="B28" s="121" t="s">
        <v>116</v>
      </c>
      <c r="C28" s="121" t="s">
        <v>117</v>
      </c>
      <c r="D28" s="122" t="s">
        <v>118</v>
      </c>
      <c r="E28" s="121" t="s">
        <v>119</v>
      </c>
      <c r="F28" s="122" t="s">
        <v>120</v>
      </c>
      <c r="G28" s="121" t="s">
        <v>121</v>
      </c>
      <c r="H28" s="121" t="s">
        <v>122</v>
      </c>
      <c r="I28" s="121" t="s">
        <v>123</v>
      </c>
      <c r="J28" s="121" t="s">
        <v>124</v>
      </c>
      <c r="K28" s="121" t="s">
        <v>125</v>
      </c>
      <c r="L28" s="121" t="s">
        <v>126</v>
      </c>
      <c r="M28" s="121" t="s">
        <v>127</v>
      </c>
      <c r="N28" s="121" t="s">
        <v>128</v>
      </c>
      <c r="O28" s="121" t="s">
        <v>129</v>
      </c>
      <c r="P28" s="121" t="s">
        <v>130</v>
      </c>
      <c r="Q28" s="121" t="s">
        <v>131</v>
      </c>
      <c r="R28" s="121" t="s">
        <v>132</v>
      </c>
      <c r="S28" s="121" t="s">
        <v>133</v>
      </c>
      <c r="T28" s="121" t="s">
        <v>134</v>
      </c>
      <c r="U28" s="123" t="s">
        <v>135</v>
      </c>
    </row>
    <row r="29" spans="1:22" s="83" customFormat="1" ht="15" customHeight="1">
      <c r="A29" s="57" t="s">
        <v>58</v>
      </c>
      <c r="B29" s="124" t="s">
        <v>32</v>
      </c>
      <c r="C29" s="124" t="s">
        <v>32</v>
      </c>
      <c r="D29" s="124" t="s">
        <v>32</v>
      </c>
      <c r="E29" s="124" t="s">
        <v>32</v>
      </c>
      <c r="F29" s="124" t="s">
        <v>32</v>
      </c>
      <c r="G29" s="124" t="s">
        <v>33</v>
      </c>
      <c r="H29" s="124" t="s">
        <v>33</v>
      </c>
      <c r="I29" s="124" t="s">
        <v>33</v>
      </c>
      <c r="J29" s="124" t="s">
        <v>33</v>
      </c>
      <c r="K29" s="124" t="s">
        <v>33</v>
      </c>
      <c r="L29" s="124" t="s">
        <v>34</v>
      </c>
      <c r="M29" s="124" t="s">
        <v>34</v>
      </c>
      <c r="N29" s="124" t="s">
        <v>34</v>
      </c>
      <c r="O29" s="124" t="s">
        <v>34</v>
      </c>
      <c r="P29" s="124" t="s">
        <v>34</v>
      </c>
      <c r="Q29" s="124" t="s">
        <v>35</v>
      </c>
      <c r="R29" s="124" t="s">
        <v>35</v>
      </c>
      <c r="S29" s="124" t="s">
        <v>35</v>
      </c>
      <c r="T29" s="124" t="s">
        <v>35</v>
      </c>
      <c r="U29" s="125" t="s">
        <v>35</v>
      </c>
    </row>
    <row r="30" spans="1:22" s="83" customFormat="1" ht="200.1" customHeight="1">
      <c r="A30" s="126" t="s">
        <v>36</v>
      </c>
      <c r="B30" s="127" t="s">
        <v>111</v>
      </c>
      <c r="C30" s="127" t="s">
        <v>111</v>
      </c>
      <c r="D30" s="127" t="s">
        <v>111</v>
      </c>
      <c r="E30" s="127" t="s">
        <v>111</v>
      </c>
      <c r="F30" s="127" t="s">
        <v>111</v>
      </c>
      <c r="G30" s="127" t="s">
        <v>111</v>
      </c>
      <c r="H30" s="127" t="s">
        <v>111</v>
      </c>
      <c r="I30" s="127" t="s">
        <v>111</v>
      </c>
      <c r="J30" s="127" t="s">
        <v>111</v>
      </c>
      <c r="K30" s="127" t="s">
        <v>111</v>
      </c>
      <c r="L30" s="127" t="s">
        <v>111</v>
      </c>
      <c r="M30" s="127" t="s">
        <v>111</v>
      </c>
      <c r="N30" s="127" t="s">
        <v>112</v>
      </c>
      <c r="O30" s="127" t="s">
        <v>113</v>
      </c>
      <c r="P30" s="127" t="s">
        <v>111</v>
      </c>
      <c r="Q30" s="127" t="s">
        <v>114</v>
      </c>
      <c r="R30" s="127" t="s">
        <v>115</v>
      </c>
      <c r="S30" s="127" t="s">
        <v>111</v>
      </c>
      <c r="T30" s="127" t="s">
        <v>111</v>
      </c>
      <c r="U30" s="128" t="s">
        <v>111</v>
      </c>
    </row>
    <row r="31" spans="1:22" s="83" customFormat="1" ht="15" customHeight="1">
      <c r="A31" s="129" t="s">
        <v>42</v>
      </c>
      <c r="B31" s="124"/>
      <c r="C31" s="124"/>
      <c r="D31" s="124"/>
      <c r="E31" s="124"/>
      <c r="F31" s="124"/>
      <c r="G31" s="124"/>
      <c r="H31" s="124"/>
      <c r="I31" s="124"/>
      <c r="J31" s="124"/>
      <c r="K31" s="124"/>
      <c r="L31" s="124"/>
      <c r="M31" s="124"/>
      <c r="N31" s="124"/>
      <c r="O31" s="124"/>
      <c r="P31" s="124"/>
      <c r="Q31" s="124"/>
      <c r="R31" s="124"/>
      <c r="S31" s="124"/>
      <c r="T31" s="124"/>
      <c r="U31" s="125"/>
    </row>
    <row r="32" spans="1:22" s="83" customFormat="1" ht="15" customHeight="1">
      <c r="A32" s="129" t="s">
        <v>44</v>
      </c>
      <c r="B32" s="130">
        <v>28</v>
      </c>
      <c r="C32" s="130">
        <v>33</v>
      </c>
      <c r="D32" s="130">
        <v>40</v>
      </c>
      <c r="E32" s="130">
        <v>43</v>
      </c>
      <c r="F32" s="130">
        <v>45</v>
      </c>
      <c r="G32" s="130">
        <v>30</v>
      </c>
      <c r="H32" s="130">
        <v>24</v>
      </c>
      <c r="I32" s="130">
        <v>47</v>
      </c>
      <c r="J32" s="130">
        <v>31</v>
      </c>
      <c r="K32" s="130">
        <v>7.5</v>
      </c>
      <c r="L32" s="130">
        <v>42</v>
      </c>
      <c r="M32" s="130">
        <v>10</v>
      </c>
      <c r="N32" s="130">
        <v>6.5</v>
      </c>
      <c r="O32" s="130">
        <v>5.81</v>
      </c>
      <c r="P32" s="130">
        <v>43</v>
      </c>
      <c r="Q32" s="130">
        <v>30</v>
      </c>
      <c r="R32" s="130">
        <v>45</v>
      </c>
      <c r="S32" s="130">
        <v>42</v>
      </c>
      <c r="T32" s="130">
        <v>35</v>
      </c>
      <c r="U32" s="131">
        <v>40</v>
      </c>
    </row>
    <row r="33" spans="1:21" s="83" customFormat="1" ht="15" customHeight="1">
      <c r="A33" s="129" t="s">
        <v>45</v>
      </c>
      <c r="B33" s="239" t="s">
        <v>136</v>
      </c>
      <c r="C33" s="130"/>
      <c r="D33" s="130"/>
      <c r="E33" s="130"/>
      <c r="F33" s="130"/>
      <c r="G33" s="239" t="s">
        <v>136</v>
      </c>
      <c r="H33" s="239" t="s">
        <v>136</v>
      </c>
      <c r="I33" s="130"/>
      <c r="J33" s="130"/>
      <c r="K33" s="130"/>
      <c r="L33" s="130"/>
      <c r="M33" s="130"/>
      <c r="N33" s="130"/>
      <c r="O33" s="130"/>
      <c r="P33" s="130"/>
      <c r="Q33" s="130"/>
      <c r="R33" s="130"/>
      <c r="S33" s="130"/>
      <c r="T33" s="130"/>
      <c r="U33" s="131"/>
    </row>
    <row r="34" spans="1:21" s="83" customFormat="1" ht="15" customHeight="1">
      <c r="A34" s="57" t="s">
        <v>46</v>
      </c>
      <c r="B34" s="240"/>
      <c r="C34" s="124"/>
      <c r="D34" s="124"/>
      <c r="E34" s="124">
        <v>1</v>
      </c>
      <c r="F34" s="124"/>
      <c r="G34" s="240"/>
      <c r="H34" s="240"/>
      <c r="I34" s="124"/>
      <c r="J34" s="124"/>
      <c r="K34" s="124"/>
      <c r="L34" s="124"/>
      <c r="M34" s="124">
        <v>1</v>
      </c>
      <c r="N34" s="124">
        <v>2</v>
      </c>
      <c r="O34" s="124">
        <v>1</v>
      </c>
      <c r="P34" s="124"/>
      <c r="Q34" s="124"/>
      <c r="R34" s="124"/>
      <c r="S34" s="124"/>
      <c r="T34" s="124"/>
      <c r="U34" s="125"/>
    </row>
    <row r="35" spans="1:21" s="83" customFormat="1" ht="15" customHeight="1">
      <c r="A35" s="57" t="s">
        <v>47</v>
      </c>
      <c r="B35" s="240"/>
      <c r="C35" s="124">
        <v>1</v>
      </c>
      <c r="D35" s="124"/>
      <c r="E35" s="124">
        <v>2</v>
      </c>
      <c r="F35" s="124">
        <v>2</v>
      </c>
      <c r="G35" s="240"/>
      <c r="H35" s="240"/>
      <c r="I35" s="124">
        <v>3</v>
      </c>
      <c r="J35" s="124"/>
      <c r="K35" s="124">
        <v>1</v>
      </c>
      <c r="L35" s="124">
        <v>1</v>
      </c>
      <c r="M35" s="124"/>
      <c r="N35" s="124">
        <v>3</v>
      </c>
      <c r="O35" s="124">
        <v>1</v>
      </c>
      <c r="P35" s="124">
        <v>1</v>
      </c>
      <c r="Q35" s="124">
        <v>1</v>
      </c>
      <c r="R35" s="124">
        <v>2</v>
      </c>
      <c r="S35" s="124">
        <v>1</v>
      </c>
      <c r="T35" s="124">
        <v>1</v>
      </c>
      <c r="U35" s="125">
        <v>1</v>
      </c>
    </row>
    <row r="36" spans="1:21" s="83" customFormat="1" ht="15" customHeight="1">
      <c r="A36" s="57" t="s">
        <v>48</v>
      </c>
      <c r="B36" s="240"/>
      <c r="C36" s="124">
        <v>1</v>
      </c>
      <c r="D36" s="124"/>
      <c r="E36" s="124">
        <v>1</v>
      </c>
      <c r="F36" s="124">
        <v>1</v>
      </c>
      <c r="G36" s="240"/>
      <c r="H36" s="240"/>
      <c r="I36" s="124">
        <v>3</v>
      </c>
      <c r="J36" s="124">
        <v>2</v>
      </c>
      <c r="K36" s="124">
        <v>1</v>
      </c>
      <c r="L36" s="124">
        <v>2</v>
      </c>
      <c r="M36" s="124"/>
      <c r="N36" s="124">
        <v>2</v>
      </c>
      <c r="O36" s="124">
        <v>2</v>
      </c>
      <c r="P36" s="124">
        <v>1</v>
      </c>
      <c r="Q36" s="124">
        <v>1</v>
      </c>
      <c r="R36" s="124"/>
      <c r="S36" s="124">
        <v>1</v>
      </c>
      <c r="T36" s="124">
        <v>2</v>
      </c>
      <c r="U36" s="125">
        <v>2</v>
      </c>
    </row>
    <row r="37" spans="1:21" s="83" customFormat="1" ht="15" customHeight="1">
      <c r="A37" s="57" t="s">
        <v>49</v>
      </c>
      <c r="B37" s="240"/>
      <c r="C37" s="124">
        <v>1</v>
      </c>
      <c r="D37" s="124"/>
      <c r="E37" s="124"/>
      <c r="F37" s="124">
        <v>1</v>
      </c>
      <c r="G37" s="240"/>
      <c r="H37" s="240"/>
      <c r="I37" s="124"/>
      <c r="J37" s="124">
        <v>1</v>
      </c>
      <c r="K37" s="124"/>
      <c r="L37" s="124"/>
      <c r="M37" s="124"/>
      <c r="N37" s="124"/>
      <c r="O37" s="124">
        <v>1</v>
      </c>
      <c r="P37" s="124">
        <v>1</v>
      </c>
      <c r="Q37" s="124">
        <v>1</v>
      </c>
      <c r="R37" s="124"/>
      <c r="S37" s="124">
        <v>1</v>
      </c>
      <c r="T37" s="124">
        <v>1</v>
      </c>
      <c r="U37" s="125"/>
    </row>
    <row r="38" spans="1:21" s="83" customFormat="1" ht="15" customHeight="1">
      <c r="A38" s="56" t="s">
        <v>50</v>
      </c>
      <c r="B38" s="240"/>
      <c r="C38" s="132">
        <v>1</v>
      </c>
      <c r="D38" s="132"/>
      <c r="E38" s="132">
        <v>1</v>
      </c>
      <c r="F38" s="132">
        <v>1</v>
      </c>
      <c r="G38" s="240"/>
      <c r="H38" s="240"/>
      <c r="I38" s="132">
        <v>1</v>
      </c>
      <c r="J38" s="132">
        <v>1</v>
      </c>
      <c r="K38" s="132">
        <v>1</v>
      </c>
      <c r="L38" s="132"/>
      <c r="M38" s="132"/>
      <c r="N38" s="132">
        <v>1</v>
      </c>
      <c r="O38" s="132">
        <v>1</v>
      </c>
      <c r="P38" s="132">
        <v>1</v>
      </c>
      <c r="Q38" s="132">
        <v>1</v>
      </c>
      <c r="R38" s="132"/>
      <c r="S38" s="132">
        <v>1</v>
      </c>
      <c r="T38" s="132">
        <v>1</v>
      </c>
      <c r="U38" s="133">
        <v>1</v>
      </c>
    </row>
    <row r="39" spans="1:21" s="83" customFormat="1" ht="15" customHeight="1">
      <c r="A39" s="57" t="s">
        <v>51</v>
      </c>
      <c r="B39" s="240"/>
      <c r="C39" s="124"/>
      <c r="D39" s="124"/>
      <c r="E39" s="124">
        <v>1</v>
      </c>
      <c r="F39" s="124"/>
      <c r="G39" s="240"/>
      <c r="H39" s="240"/>
      <c r="I39" s="124"/>
      <c r="J39" s="124"/>
      <c r="K39" s="124"/>
      <c r="L39" s="124"/>
      <c r="M39" s="124"/>
      <c r="N39" s="124"/>
      <c r="O39" s="124"/>
      <c r="P39" s="124"/>
      <c r="Q39" s="124"/>
      <c r="R39" s="124"/>
      <c r="S39" s="124"/>
      <c r="T39" s="124"/>
      <c r="U39" s="125"/>
    </row>
    <row r="40" spans="1:21" s="83" customFormat="1" ht="15" customHeight="1">
      <c r="A40" s="57" t="s">
        <v>52</v>
      </c>
      <c r="B40" s="240"/>
      <c r="C40" s="124"/>
      <c r="D40" s="124"/>
      <c r="E40" s="124"/>
      <c r="F40" s="124"/>
      <c r="G40" s="240"/>
      <c r="H40" s="240"/>
      <c r="I40" s="124"/>
      <c r="J40" s="124">
        <v>1</v>
      </c>
      <c r="K40" s="124"/>
      <c r="L40" s="124"/>
      <c r="M40" s="124"/>
      <c r="N40" s="124"/>
      <c r="O40" s="124"/>
      <c r="P40" s="124"/>
      <c r="Q40" s="124"/>
      <c r="R40" s="124"/>
      <c r="S40" s="124"/>
      <c r="T40" s="124"/>
      <c r="U40" s="125"/>
    </row>
    <row r="41" spans="1:21" s="83" customFormat="1" ht="15" customHeight="1">
      <c r="A41" s="56" t="s">
        <v>53</v>
      </c>
      <c r="B41" s="240"/>
      <c r="C41" s="132"/>
      <c r="D41" s="132"/>
      <c r="E41" s="132">
        <v>1</v>
      </c>
      <c r="F41" s="132"/>
      <c r="G41" s="240"/>
      <c r="H41" s="240"/>
      <c r="I41" s="132"/>
      <c r="J41" s="132">
        <v>1</v>
      </c>
      <c r="K41" s="132">
        <v>1</v>
      </c>
      <c r="L41" s="132"/>
      <c r="M41" s="132">
        <v>1</v>
      </c>
      <c r="N41" s="132">
        <v>1</v>
      </c>
      <c r="O41" s="132">
        <v>1</v>
      </c>
      <c r="P41" s="132">
        <v>1</v>
      </c>
      <c r="Q41" s="132">
        <v>1</v>
      </c>
      <c r="R41" s="132"/>
      <c r="S41" s="132">
        <v>1</v>
      </c>
      <c r="T41" s="132"/>
      <c r="U41" s="133">
        <v>1</v>
      </c>
    </row>
    <row r="42" spans="1:21" s="83" customFormat="1" ht="15" customHeight="1" thickBot="1">
      <c r="A42" s="58" t="s">
        <v>54</v>
      </c>
      <c r="B42" s="241"/>
      <c r="C42" s="134"/>
      <c r="D42" s="134"/>
      <c r="E42" s="134">
        <v>1</v>
      </c>
      <c r="F42" s="134"/>
      <c r="G42" s="241"/>
      <c r="H42" s="241"/>
      <c r="I42" s="134"/>
      <c r="J42" s="134">
        <v>1</v>
      </c>
      <c r="K42" s="134">
        <v>1</v>
      </c>
      <c r="L42" s="134"/>
      <c r="M42" s="134">
        <v>1</v>
      </c>
      <c r="N42" s="134">
        <v>1</v>
      </c>
      <c r="O42" s="134">
        <v>1</v>
      </c>
      <c r="P42" s="134">
        <v>1</v>
      </c>
      <c r="Q42" s="134">
        <v>1</v>
      </c>
      <c r="R42" s="134"/>
      <c r="S42" s="134">
        <v>1</v>
      </c>
      <c r="T42" s="134"/>
      <c r="U42" s="135">
        <v>1</v>
      </c>
    </row>
    <row r="43" spans="1:21" s="83" customFormat="1" ht="15" customHeight="1" thickTop="1" thickBot="1">
      <c r="A43" s="61" t="s">
        <v>55</v>
      </c>
      <c r="B43" s="136"/>
      <c r="C43" s="136"/>
      <c r="D43" s="136"/>
      <c r="E43" s="136">
        <v>1</v>
      </c>
      <c r="F43" s="136"/>
      <c r="G43" s="136"/>
      <c r="H43" s="136"/>
      <c r="I43" s="136"/>
      <c r="J43" s="136">
        <v>1</v>
      </c>
      <c r="K43" s="136">
        <v>1</v>
      </c>
      <c r="L43" s="136"/>
      <c r="M43" s="136"/>
      <c r="N43" s="136">
        <v>1</v>
      </c>
      <c r="O43" s="136">
        <v>1</v>
      </c>
      <c r="P43" s="136">
        <v>1</v>
      </c>
      <c r="Q43" s="136">
        <v>1</v>
      </c>
      <c r="R43" s="136"/>
      <c r="S43" s="136">
        <v>1</v>
      </c>
      <c r="T43" s="136"/>
      <c r="U43" s="137">
        <v>1</v>
      </c>
    </row>
    <row r="44" spans="1:21" s="83" customFormat="1" ht="15" customHeight="1">
      <c r="A44" s="140" t="s">
        <v>138</v>
      </c>
      <c r="B44" s="138"/>
      <c r="C44" s="138"/>
      <c r="D44" s="138"/>
      <c r="E44" s="138"/>
      <c r="F44" s="138"/>
      <c r="G44" s="138"/>
      <c r="H44" s="138"/>
      <c r="I44" s="138"/>
      <c r="J44" s="138"/>
      <c r="K44" s="138"/>
      <c r="L44" s="138"/>
      <c r="M44" s="138"/>
      <c r="N44" s="138"/>
      <c r="O44" s="138"/>
      <c r="P44" s="138"/>
      <c r="Q44" s="138"/>
      <c r="R44" s="138"/>
      <c r="S44" s="138"/>
      <c r="T44" s="138"/>
      <c r="U44" s="138"/>
    </row>
    <row r="45" spans="1:21" s="81" customFormat="1" ht="21" customHeight="1">
      <c r="A45" s="140"/>
      <c r="B45" s="139"/>
      <c r="C45" s="139"/>
      <c r="D45" s="139"/>
      <c r="E45" s="139"/>
      <c r="F45" s="139"/>
      <c r="G45" s="139"/>
      <c r="H45" s="139"/>
      <c r="I45" s="139"/>
      <c r="J45" s="139"/>
      <c r="K45" s="139"/>
      <c r="L45" s="139"/>
      <c r="M45" s="139"/>
      <c r="N45" s="139"/>
      <c r="O45" s="139"/>
      <c r="P45" s="139"/>
      <c r="Q45" s="139"/>
      <c r="R45" s="139"/>
      <c r="S45" s="139"/>
      <c r="T45" s="139"/>
      <c r="U45" s="139"/>
    </row>
  </sheetData>
  <mergeCells count="3">
    <mergeCell ref="B33:B42"/>
    <mergeCell ref="G33:G42"/>
    <mergeCell ref="H33:H42"/>
  </mergeCells>
  <phoneticPr fontId="5"/>
  <pageMargins left="0.7" right="0.7" top="0.75" bottom="0.75" header="0.3" footer="0.3"/>
  <pageSetup paperSize="9" scale="5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U44"/>
  <sheetViews>
    <sheetView view="pageBreakPreview" zoomScale="70" zoomScaleNormal="100" zoomScaleSheetLayoutView="70" workbookViewId="0">
      <selection activeCell="P7" sqref="P7"/>
    </sheetView>
  </sheetViews>
  <sheetFormatPr defaultRowHeight="15"/>
  <cols>
    <col min="1" max="1" width="23.25" style="36" bestFit="1" customWidth="1"/>
    <col min="2" max="12" width="6" style="36" customWidth="1"/>
    <col min="13" max="17" width="6" style="80" customWidth="1"/>
    <col min="18" max="19" width="6" style="36" bestFit="1" customWidth="1"/>
    <col min="20" max="22" width="6" style="36" customWidth="1"/>
    <col min="23" max="16384" width="9" style="36"/>
  </cols>
  <sheetData>
    <row r="1" spans="1:19" ht="15" customHeight="1">
      <c r="A1" s="33" t="s">
        <v>359</v>
      </c>
      <c r="B1" s="34"/>
      <c r="C1" s="34"/>
      <c r="D1" s="34"/>
      <c r="E1" s="34"/>
      <c r="F1" s="34"/>
      <c r="G1" s="34"/>
      <c r="H1" s="34"/>
      <c r="I1" s="34"/>
      <c r="J1" s="34"/>
      <c r="K1" s="34"/>
      <c r="L1" s="34"/>
      <c r="M1" s="35"/>
      <c r="N1" s="35"/>
      <c r="O1" s="35"/>
      <c r="P1" s="35"/>
      <c r="Q1" s="35"/>
      <c r="R1" s="34"/>
      <c r="S1" s="34"/>
    </row>
    <row r="2" spans="1:19" ht="15" customHeight="1">
      <c r="A2" s="37" t="s">
        <v>28</v>
      </c>
      <c r="B2" s="34"/>
      <c r="C2" s="34"/>
      <c r="D2" s="34"/>
      <c r="E2" s="34"/>
      <c r="F2" s="34"/>
      <c r="G2" s="34"/>
      <c r="H2" s="34"/>
      <c r="I2" s="34"/>
      <c r="J2" s="34"/>
      <c r="K2" s="34"/>
      <c r="L2" s="34"/>
      <c r="M2" s="35"/>
      <c r="N2" s="35"/>
      <c r="O2" s="35"/>
      <c r="P2" s="35"/>
      <c r="Q2" s="35"/>
      <c r="R2" s="34"/>
      <c r="S2" s="34"/>
    </row>
    <row r="3" spans="1:19" ht="15" customHeight="1">
      <c r="A3" s="37" t="s">
        <v>91</v>
      </c>
      <c r="B3" s="34"/>
      <c r="C3" s="34"/>
      <c r="D3" s="34"/>
      <c r="E3" s="34"/>
      <c r="F3" s="34"/>
      <c r="G3" s="34"/>
      <c r="H3" s="34"/>
      <c r="I3" s="34"/>
      <c r="J3" s="34"/>
      <c r="K3" s="34"/>
      <c r="L3" s="34"/>
      <c r="M3" s="35"/>
      <c r="N3" s="35"/>
      <c r="O3" s="35"/>
      <c r="P3" s="35"/>
      <c r="Q3" s="35"/>
      <c r="R3" s="34"/>
      <c r="S3" s="34"/>
    </row>
    <row r="4" spans="1:19" ht="15" customHeight="1" thickBot="1">
      <c r="A4" s="37" t="s">
        <v>29</v>
      </c>
      <c r="B4" s="34"/>
      <c r="C4" s="34"/>
      <c r="D4" s="34"/>
      <c r="E4" s="34"/>
      <c r="F4" s="34"/>
      <c r="G4" s="34"/>
      <c r="H4" s="34"/>
      <c r="I4" s="34"/>
      <c r="J4" s="34"/>
      <c r="K4" s="34"/>
      <c r="L4" s="34"/>
      <c r="M4" s="35"/>
      <c r="N4" s="35"/>
      <c r="O4" s="35"/>
      <c r="P4" s="35"/>
      <c r="Q4" s="35"/>
      <c r="R4" s="34"/>
      <c r="S4" s="34"/>
    </row>
    <row r="5" spans="1:19" ht="15" customHeight="1">
      <c r="A5" s="38" t="s">
        <v>30</v>
      </c>
      <c r="B5" s="39">
        <v>72</v>
      </c>
      <c r="C5" s="39">
        <v>82</v>
      </c>
      <c r="D5" s="39">
        <v>76</v>
      </c>
      <c r="E5" s="39">
        <v>63</v>
      </c>
      <c r="F5" s="39">
        <v>64</v>
      </c>
      <c r="G5" s="39">
        <v>65</v>
      </c>
      <c r="H5" s="40">
        <v>83</v>
      </c>
      <c r="I5" s="39">
        <v>34</v>
      </c>
      <c r="J5" s="39">
        <v>35</v>
      </c>
      <c r="K5" s="39">
        <v>8</v>
      </c>
      <c r="L5" s="39">
        <v>9</v>
      </c>
      <c r="M5" s="41">
        <v>80</v>
      </c>
      <c r="N5" s="35"/>
      <c r="O5" s="35"/>
      <c r="P5" s="34"/>
      <c r="Q5" s="34"/>
    </row>
    <row r="6" spans="1:19" s="46" customFormat="1" ht="15" customHeight="1">
      <c r="A6" s="42" t="s">
        <v>31</v>
      </c>
      <c r="B6" s="43" t="s">
        <v>32</v>
      </c>
      <c r="C6" s="43" t="s">
        <v>32</v>
      </c>
      <c r="D6" s="43" t="s">
        <v>32</v>
      </c>
      <c r="E6" s="43" t="s">
        <v>33</v>
      </c>
      <c r="F6" s="43" t="s">
        <v>33</v>
      </c>
      <c r="G6" s="43" t="s">
        <v>33</v>
      </c>
      <c r="H6" s="44" t="s">
        <v>34</v>
      </c>
      <c r="I6" s="43" t="s">
        <v>35</v>
      </c>
      <c r="J6" s="43" t="s">
        <v>35</v>
      </c>
      <c r="K6" s="43" t="s">
        <v>35</v>
      </c>
      <c r="L6" s="43" t="s">
        <v>35</v>
      </c>
      <c r="M6" s="45" t="s">
        <v>35</v>
      </c>
      <c r="N6" s="35"/>
      <c r="O6" s="35"/>
      <c r="P6" s="34"/>
      <c r="Q6" s="34"/>
    </row>
    <row r="7" spans="1:19" s="46" customFormat="1" ht="200.1" customHeight="1">
      <c r="A7" s="47" t="s">
        <v>36</v>
      </c>
      <c r="B7" s="48" t="s">
        <v>37</v>
      </c>
      <c r="C7" s="48" t="s">
        <v>38</v>
      </c>
      <c r="D7" s="48" t="s">
        <v>39</v>
      </c>
      <c r="E7" s="48" t="s">
        <v>38</v>
      </c>
      <c r="F7" s="48" t="s">
        <v>92</v>
      </c>
      <c r="G7" s="48" t="s">
        <v>38</v>
      </c>
      <c r="H7" s="48" t="s">
        <v>40</v>
      </c>
      <c r="I7" s="48" t="s">
        <v>38</v>
      </c>
      <c r="J7" s="48" t="s">
        <v>38</v>
      </c>
      <c r="K7" s="48" t="s">
        <v>39</v>
      </c>
      <c r="L7" s="48" t="s">
        <v>39</v>
      </c>
      <c r="M7" s="49" t="s">
        <v>41</v>
      </c>
      <c r="N7" s="35"/>
      <c r="O7" s="35"/>
      <c r="P7" s="34"/>
      <c r="Q7" s="35"/>
    </row>
    <row r="8" spans="1:19" s="46" customFormat="1" ht="15" customHeight="1">
      <c r="A8" s="50" t="s">
        <v>42</v>
      </c>
      <c r="B8" s="43" t="s">
        <v>43</v>
      </c>
      <c r="C8" s="43" t="s">
        <v>43</v>
      </c>
      <c r="D8" s="43" t="s">
        <v>43</v>
      </c>
      <c r="E8" s="43" t="s">
        <v>43</v>
      </c>
      <c r="F8" s="43" t="s">
        <v>43</v>
      </c>
      <c r="G8" s="43" t="s">
        <v>43</v>
      </c>
      <c r="H8" s="43" t="s">
        <v>43</v>
      </c>
      <c r="I8" s="43" t="s">
        <v>43</v>
      </c>
      <c r="J8" s="43" t="s">
        <v>43</v>
      </c>
      <c r="K8" s="43" t="s">
        <v>43</v>
      </c>
      <c r="L8" s="43" t="s">
        <v>43</v>
      </c>
      <c r="M8" s="45" t="s">
        <v>43</v>
      </c>
      <c r="N8" s="37"/>
      <c r="O8" s="51"/>
      <c r="P8" s="51"/>
      <c r="Q8" s="51"/>
    </row>
    <row r="9" spans="1:19" s="46" customFormat="1" ht="15" customHeight="1">
      <c r="A9" s="50" t="s">
        <v>44</v>
      </c>
      <c r="B9" s="52">
        <v>13.9</v>
      </c>
      <c r="C9" s="52">
        <v>14.7</v>
      </c>
      <c r="D9" s="52">
        <v>13.8</v>
      </c>
      <c r="E9" s="52">
        <v>12.8</v>
      </c>
      <c r="F9" s="52">
        <v>11</v>
      </c>
      <c r="G9" s="52">
        <v>14.7</v>
      </c>
      <c r="H9" s="52">
        <v>13.5</v>
      </c>
      <c r="I9" s="52">
        <v>16.3</v>
      </c>
      <c r="J9" s="52">
        <v>14.6</v>
      </c>
      <c r="K9" s="52">
        <v>14.7</v>
      </c>
      <c r="L9" s="52">
        <v>16.600000000000001</v>
      </c>
      <c r="M9" s="53">
        <v>14.3</v>
      </c>
      <c r="N9" s="37"/>
      <c r="O9" s="51"/>
      <c r="P9" s="51"/>
      <c r="Q9" s="51"/>
    </row>
    <row r="10" spans="1:19" s="46" customFormat="1" ht="15" customHeight="1">
      <c r="A10" s="50" t="s">
        <v>45</v>
      </c>
      <c r="B10" s="52">
        <v>28.2</v>
      </c>
      <c r="C10" s="52">
        <v>28.2</v>
      </c>
      <c r="D10" s="52">
        <v>12.5</v>
      </c>
      <c r="E10" s="52">
        <v>28.8</v>
      </c>
      <c r="F10" s="52">
        <v>16.100000000000001</v>
      </c>
      <c r="G10" s="52">
        <v>23.5</v>
      </c>
      <c r="H10" s="52">
        <v>22.5</v>
      </c>
      <c r="I10" s="52">
        <v>25.6</v>
      </c>
      <c r="J10" s="52">
        <v>21.6</v>
      </c>
      <c r="K10" s="52">
        <v>16.7</v>
      </c>
      <c r="L10" s="52">
        <v>21.5</v>
      </c>
      <c r="M10" s="53">
        <v>34.200000000000003</v>
      </c>
      <c r="N10" s="37"/>
      <c r="O10" s="51"/>
      <c r="P10" s="51"/>
      <c r="Q10" s="51"/>
    </row>
    <row r="11" spans="1:19" s="46" customFormat="1" ht="15" customHeight="1">
      <c r="A11" s="54" t="s">
        <v>46</v>
      </c>
      <c r="B11" s="43"/>
      <c r="C11" s="43"/>
      <c r="D11" s="43"/>
      <c r="E11" s="43"/>
      <c r="F11" s="43"/>
      <c r="G11" s="43"/>
      <c r="H11" s="43"/>
      <c r="I11" s="43"/>
      <c r="J11" s="43"/>
      <c r="K11" s="43"/>
      <c r="L11" s="43"/>
      <c r="M11" s="45"/>
      <c r="N11" s="37"/>
      <c r="O11" s="51"/>
      <c r="P11" s="51"/>
      <c r="Q11" s="51"/>
    </row>
    <row r="12" spans="1:19" s="46" customFormat="1" ht="15" customHeight="1">
      <c r="A12" s="54" t="s">
        <v>47</v>
      </c>
      <c r="B12" s="43"/>
      <c r="C12" s="43"/>
      <c r="D12" s="43"/>
      <c r="E12" s="43"/>
      <c r="F12" s="43"/>
      <c r="G12" s="43"/>
      <c r="H12" s="43"/>
      <c r="I12" s="43"/>
      <c r="J12" s="43"/>
      <c r="K12" s="43"/>
      <c r="L12" s="43"/>
      <c r="M12" s="45"/>
      <c r="N12" s="37"/>
      <c r="O12" s="51"/>
      <c r="P12" s="51"/>
      <c r="Q12" s="51"/>
    </row>
    <row r="13" spans="1:19" s="55" customFormat="1" ht="15" customHeight="1">
      <c r="A13" s="54" t="s">
        <v>48</v>
      </c>
      <c r="B13" s="43"/>
      <c r="C13" s="43"/>
      <c r="D13" s="43"/>
      <c r="E13" s="43"/>
      <c r="F13" s="43"/>
      <c r="G13" s="43"/>
      <c r="H13" s="43"/>
      <c r="I13" s="43"/>
      <c r="J13" s="43"/>
      <c r="K13" s="43"/>
      <c r="L13" s="43"/>
      <c r="M13" s="45"/>
      <c r="N13" s="37"/>
      <c r="O13" s="51"/>
      <c r="P13" s="51"/>
      <c r="Q13" s="51"/>
    </row>
    <row r="14" spans="1:19" s="55" customFormat="1" ht="15" customHeight="1">
      <c r="A14" s="54" t="s">
        <v>49</v>
      </c>
      <c r="B14" s="43"/>
      <c r="C14" s="43"/>
      <c r="D14" s="43"/>
      <c r="E14" s="43"/>
      <c r="F14" s="43"/>
      <c r="G14" s="43"/>
      <c r="H14" s="43"/>
      <c r="I14" s="43"/>
      <c r="J14" s="43"/>
      <c r="K14" s="43"/>
      <c r="L14" s="43"/>
      <c r="M14" s="45"/>
      <c r="N14" s="37"/>
      <c r="O14" s="51"/>
      <c r="P14" s="51"/>
      <c r="Q14" s="51"/>
    </row>
    <row r="15" spans="1:19" s="55" customFormat="1" ht="15" customHeight="1">
      <c r="A15" s="56" t="s">
        <v>50</v>
      </c>
      <c r="B15" s="43"/>
      <c r="C15" s="43"/>
      <c r="D15" s="43"/>
      <c r="E15" s="43"/>
      <c r="F15" s="43"/>
      <c r="G15" s="43"/>
      <c r="H15" s="43"/>
      <c r="I15" s="43"/>
      <c r="J15" s="43"/>
      <c r="K15" s="43"/>
      <c r="L15" s="43"/>
      <c r="M15" s="45"/>
      <c r="N15" s="37"/>
      <c r="O15" s="51"/>
      <c r="P15" s="51"/>
      <c r="Q15" s="51"/>
    </row>
    <row r="16" spans="1:19" s="55" customFormat="1" ht="15" customHeight="1">
      <c r="A16" s="57" t="s">
        <v>51</v>
      </c>
      <c r="B16" s="43"/>
      <c r="C16" s="43"/>
      <c r="D16" s="43"/>
      <c r="E16" s="43"/>
      <c r="F16" s="43"/>
      <c r="G16" s="43"/>
      <c r="H16" s="43"/>
      <c r="I16" s="43"/>
      <c r="J16" s="43"/>
      <c r="K16" s="43"/>
      <c r="L16" s="43"/>
      <c r="M16" s="45"/>
      <c r="N16" s="37"/>
      <c r="O16" s="51"/>
      <c r="P16" s="51"/>
      <c r="Q16" s="51"/>
    </row>
    <row r="17" spans="1:21" s="55" customFormat="1" ht="15" customHeight="1">
      <c r="A17" s="57" t="s">
        <v>52</v>
      </c>
      <c r="B17" s="43"/>
      <c r="C17" s="43"/>
      <c r="D17" s="43"/>
      <c r="E17" s="43"/>
      <c r="F17" s="43"/>
      <c r="G17" s="43"/>
      <c r="H17" s="43"/>
      <c r="I17" s="43"/>
      <c r="J17" s="43"/>
      <c r="K17" s="43"/>
      <c r="L17" s="43"/>
      <c r="M17" s="45"/>
      <c r="N17" s="37"/>
      <c r="O17" s="51"/>
      <c r="P17" s="51"/>
      <c r="Q17" s="51"/>
    </row>
    <row r="18" spans="1:21" s="55" customFormat="1" ht="15" customHeight="1">
      <c r="A18" s="56" t="s">
        <v>53</v>
      </c>
      <c r="B18" s="43"/>
      <c r="C18" s="43"/>
      <c r="D18" s="43"/>
      <c r="E18" s="43"/>
      <c r="F18" s="43"/>
      <c r="G18" s="43"/>
      <c r="H18" s="43"/>
      <c r="I18" s="43"/>
      <c r="J18" s="43"/>
      <c r="K18" s="43"/>
      <c r="L18" s="43"/>
      <c r="M18" s="45"/>
      <c r="N18" s="37"/>
      <c r="O18" s="51"/>
      <c r="P18" s="51"/>
      <c r="Q18" s="51"/>
    </row>
    <row r="19" spans="1:21" s="55" customFormat="1" ht="15" customHeight="1" thickBot="1">
      <c r="A19" s="58" t="s">
        <v>54</v>
      </c>
      <c r="B19" s="59"/>
      <c r="C19" s="59"/>
      <c r="D19" s="59"/>
      <c r="E19" s="59"/>
      <c r="F19" s="59"/>
      <c r="G19" s="59"/>
      <c r="H19" s="59"/>
      <c r="I19" s="59"/>
      <c r="J19" s="59"/>
      <c r="K19" s="59"/>
      <c r="L19" s="59"/>
      <c r="M19" s="60"/>
      <c r="N19" s="37"/>
      <c r="O19" s="51"/>
      <c r="P19" s="51"/>
      <c r="Q19" s="51"/>
    </row>
    <row r="20" spans="1:21" s="55" customFormat="1" ht="15" customHeight="1" thickTop="1" thickBot="1">
      <c r="A20" s="61" t="s">
        <v>55</v>
      </c>
      <c r="B20" s="62"/>
      <c r="C20" s="62"/>
      <c r="D20" s="62"/>
      <c r="E20" s="62"/>
      <c r="F20" s="62"/>
      <c r="G20" s="62"/>
      <c r="H20" s="62"/>
      <c r="I20" s="62"/>
      <c r="J20" s="62"/>
      <c r="K20" s="62"/>
      <c r="L20" s="62"/>
      <c r="M20" s="63"/>
      <c r="N20" s="37"/>
      <c r="O20" s="51"/>
      <c r="P20" s="51"/>
      <c r="Q20" s="51"/>
    </row>
    <row r="21" spans="1:21" s="55" customFormat="1" ht="18" customHeight="1">
      <c r="A21" s="152"/>
      <c r="B21" s="152"/>
      <c r="C21" s="152"/>
      <c r="D21" s="152"/>
      <c r="E21" s="152"/>
      <c r="F21" s="152"/>
      <c r="G21" s="152"/>
      <c r="H21" s="152"/>
      <c r="I21" s="152"/>
      <c r="J21" s="152"/>
      <c r="K21" s="152"/>
      <c r="L21" s="152"/>
      <c r="M21" s="152"/>
      <c r="N21" s="152"/>
      <c r="O21" s="152"/>
      <c r="P21" s="152"/>
      <c r="Q21" s="152"/>
      <c r="R21" s="152"/>
      <c r="S21" s="153"/>
      <c r="T21" s="154"/>
      <c r="U21" s="154"/>
    </row>
    <row r="22" spans="1:21" s="55" customFormat="1" ht="15" customHeight="1">
      <c r="A22" s="64"/>
      <c r="B22" s="64"/>
      <c r="C22" s="64"/>
      <c r="D22" s="64"/>
      <c r="E22" s="64"/>
      <c r="F22" s="64"/>
      <c r="G22" s="64"/>
      <c r="H22" s="64"/>
      <c r="I22" s="64"/>
      <c r="J22" s="64"/>
      <c r="K22" s="64"/>
      <c r="L22" s="64"/>
      <c r="M22" s="64"/>
      <c r="N22" s="64"/>
      <c r="O22" s="64"/>
      <c r="P22" s="64"/>
      <c r="Q22" s="64"/>
      <c r="R22" s="64"/>
      <c r="S22" s="65"/>
    </row>
    <row r="23" spans="1:21" s="55" customFormat="1" ht="15" customHeight="1">
      <c r="A23" s="33" t="s">
        <v>360</v>
      </c>
      <c r="B23" s="34"/>
      <c r="C23" s="34"/>
      <c r="D23" s="34"/>
      <c r="E23" s="34"/>
      <c r="F23" s="34"/>
      <c r="G23" s="34"/>
      <c r="H23" s="34"/>
      <c r="I23" s="34"/>
      <c r="J23" s="34"/>
      <c r="K23" s="34"/>
      <c r="L23" s="34"/>
      <c r="M23" s="34"/>
      <c r="N23" s="34"/>
      <c r="O23" s="34"/>
      <c r="P23" s="34"/>
      <c r="Q23" s="34"/>
      <c r="R23" s="34"/>
      <c r="S23" s="37"/>
    </row>
    <row r="24" spans="1:21" s="55" customFormat="1" ht="15" customHeight="1">
      <c r="A24" s="37" t="s">
        <v>56</v>
      </c>
      <c r="B24" s="34"/>
      <c r="C24" s="34"/>
      <c r="D24" s="34"/>
      <c r="E24" s="34"/>
      <c r="F24" s="34"/>
      <c r="G24" s="34"/>
      <c r="H24" s="34"/>
      <c r="I24" s="34"/>
      <c r="J24" s="34"/>
      <c r="K24" s="34"/>
      <c r="L24" s="34"/>
      <c r="M24" s="34"/>
      <c r="N24" s="34"/>
      <c r="O24" s="34"/>
      <c r="P24" s="34"/>
      <c r="Q24" s="34"/>
      <c r="R24" s="34"/>
      <c r="S24" s="37"/>
    </row>
    <row r="25" spans="1:21" ht="15" customHeight="1">
      <c r="A25" s="37" t="s">
        <v>91</v>
      </c>
      <c r="B25" s="34"/>
      <c r="C25" s="34"/>
      <c r="D25" s="34"/>
      <c r="E25" s="34"/>
      <c r="F25" s="34"/>
      <c r="G25" s="34"/>
      <c r="H25" s="34"/>
      <c r="I25" s="34"/>
      <c r="J25" s="34"/>
      <c r="K25" s="34"/>
      <c r="L25" s="34"/>
      <c r="M25" s="34"/>
      <c r="N25" s="34"/>
      <c r="O25" s="34"/>
      <c r="P25" s="34"/>
      <c r="Q25" s="34"/>
      <c r="R25" s="34"/>
      <c r="S25" s="37"/>
    </row>
    <row r="26" spans="1:21" ht="15" customHeight="1" thickBot="1">
      <c r="A26" s="37" t="s">
        <v>148</v>
      </c>
      <c r="B26" s="34"/>
      <c r="C26" s="34"/>
      <c r="D26" s="34"/>
      <c r="E26" s="34"/>
      <c r="F26" s="34"/>
      <c r="G26" s="34"/>
      <c r="H26" s="34"/>
      <c r="I26" s="34"/>
      <c r="J26" s="34"/>
      <c r="K26" s="34"/>
      <c r="L26" s="34"/>
      <c r="M26" s="34"/>
      <c r="N26" s="34"/>
      <c r="O26" s="34"/>
      <c r="P26" s="34"/>
      <c r="Q26" s="34"/>
      <c r="R26" s="34"/>
      <c r="S26" s="37"/>
    </row>
    <row r="27" spans="1:21" ht="15" customHeight="1">
      <c r="A27" s="38" t="s">
        <v>57</v>
      </c>
      <c r="B27" s="39">
        <v>92</v>
      </c>
      <c r="C27" s="39">
        <v>93</v>
      </c>
      <c r="D27" s="39">
        <v>122</v>
      </c>
      <c r="E27" s="39">
        <v>100</v>
      </c>
      <c r="F27" s="39">
        <v>104</v>
      </c>
      <c r="G27" s="39">
        <v>108</v>
      </c>
      <c r="H27" s="39">
        <v>127</v>
      </c>
      <c r="I27" s="39">
        <v>128</v>
      </c>
      <c r="J27" s="39">
        <v>63</v>
      </c>
      <c r="K27" s="39">
        <v>138</v>
      </c>
      <c r="L27" s="39">
        <v>112</v>
      </c>
      <c r="M27" s="39">
        <v>113</v>
      </c>
      <c r="N27" s="39">
        <v>114</v>
      </c>
      <c r="O27" s="40">
        <v>142</v>
      </c>
      <c r="P27" s="66">
        <v>141</v>
      </c>
      <c r="Q27" s="67"/>
    </row>
    <row r="28" spans="1:21" s="55" customFormat="1" ht="15" customHeight="1">
      <c r="A28" s="54" t="s">
        <v>58</v>
      </c>
      <c r="B28" s="43" t="s">
        <v>59</v>
      </c>
      <c r="C28" s="43" t="s">
        <v>59</v>
      </c>
      <c r="D28" s="43" t="s">
        <v>59</v>
      </c>
      <c r="E28" s="43" t="s">
        <v>60</v>
      </c>
      <c r="F28" s="43" t="s">
        <v>60</v>
      </c>
      <c r="G28" s="43" t="s">
        <v>60</v>
      </c>
      <c r="H28" s="43" t="s">
        <v>60</v>
      </c>
      <c r="I28" s="43" t="s">
        <v>60</v>
      </c>
      <c r="J28" s="43" t="s">
        <v>61</v>
      </c>
      <c r="K28" s="43" t="s">
        <v>61</v>
      </c>
      <c r="L28" s="43" t="s">
        <v>62</v>
      </c>
      <c r="M28" s="43" t="s">
        <v>62</v>
      </c>
      <c r="N28" s="43" t="s">
        <v>62</v>
      </c>
      <c r="O28" s="44" t="s">
        <v>62</v>
      </c>
      <c r="P28" s="68" t="s">
        <v>62</v>
      </c>
      <c r="Q28" s="69"/>
    </row>
    <row r="29" spans="1:21" s="55" customFormat="1" ht="200.1" customHeight="1">
      <c r="A29" s="47" t="s">
        <v>36</v>
      </c>
      <c r="B29" s="48" t="s">
        <v>38</v>
      </c>
      <c r="C29" s="48" t="s">
        <v>38</v>
      </c>
      <c r="D29" s="48" t="s">
        <v>63</v>
      </c>
      <c r="E29" s="48" t="s">
        <v>40</v>
      </c>
      <c r="F29" s="48" t="s">
        <v>37</v>
      </c>
      <c r="G29" s="48" t="s">
        <v>37</v>
      </c>
      <c r="H29" s="48" t="s">
        <v>37</v>
      </c>
      <c r="I29" s="48" t="s">
        <v>37</v>
      </c>
      <c r="J29" s="48" t="s">
        <v>37</v>
      </c>
      <c r="K29" s="48" t="s">
        <v>38</v>
      </c>
      <c r="L29" s="48" t="s">
        <v>38</v>
      </c>
      <c r="M29" s="48" t="s">
        <v>38</v>
      </c>
      <c r="N29" s="48" t="s">
        <v>38</v>
      </c>
      <c r="O29" s="48" t="s">
        <v>64</v>
      </c>
      <c r="P29" s="70" t="s">
        <v>38</v>
      </c>
      <c r="Q29" s="69"/>
    </row>
    <row r="30" spans="1:21" s="55" customFormat="1" ht="15" customHeight="1">
      <c r="A30" s="50" t="s">
        <v>42</v>
      </c>
      <c r="B30" s="43"/>
      <c r="C30" s="43"/>
      <c r="D30" s="43" t="s">
        <v>43</v>
      </c>
      <c r="E30" s="43"/>
      <c r="F30" s="43" t="s">
        <v>43</v>
      </c>
      <c r="G30" s="43"/>
      <c r="H30" s="43"/>
      <c r="I30" s="43"/>
      <c r="J30" s="43"/>
      <c r="K30" s="43" t="s">
        <v>65</v>
      </c>
      <c r="L30" s="43"/>
      <c r="M30" s="44"/>
      <c r="N30" s="43"/>
      <c r="O30" s="43"/>
      <c r="P30" s="68" t="s">
        <v>65</v>
      </c>
      <c r="Q30" s="69"/>
    </row>
    <row r="31" spans="1:21" s="55" customFormat="1" ht="15" customHeight="1">
      <c r="A31" s="50" t="s">
        <v>44</v>
      </c>
      <c r="B31" s="52">
        <v>15.8</v>
      </c>
      <c r="C31" s="52">
        <v>16.3</v>
      </c>
      <c r="D31" s="52">
        <v>18.5</v>
      </c>
      <c r="E31" s="52">
        <v>18.399999999999999</v>
      </c>
      <c r="F31" s="52">
        <v>17.600000000000001</v>
      </c>
      <c r="G31" s="52">
        <v>17.3</v>
      </c>
      <c r="H31" s="52">
        <v>18.3</v>
      </c>
      <c r="I31" s="52">
        <v>18.399999999999999</v>
      </c>
      <c r="J31" s="52">
        <v>18.3</v>
      </c>
      <c r="K31" s="52">
        <v>12.9</v>
      </c>
      <c r="L31" s="52">
        <v>18.8</v>
      </c>
      <c r="M31" s="52">
        <v>19.899999999999999</v>
      </c>
      <c r="N31" s="52">
        <v>15.6</v>
      </c>
      <c r="O31" s="52">
        <v>12.7</v>
      </c>
      <c r="P31" s="71">
        <v>14.8</v>
      </c>
      <c r="Q31" s="69"/>
    </row>
    <row r="32" spans="1:21" s="55" customFormat="1" ht="15" customHeight="1">
      <c r="A32" s="50" t="s">
        <v>45</v>
      </c>
      <c r="B32" s="52">
        <v>25.4</v>
      </c>
      <c r="C32" s="52">
        <v>29.8</v>
      </c>
      <c r="D32" s="52">
        <v>29.7</v>
      </c>
      <c r="E32" s="52">
        <v>31.4</v>
      </c>
      <c r="F32" s="52">
        <v>29.2</v>
      </c>
      <c r="G32" s="52">
        <v>26.8</v>
      </c>
      <c r="H32" s="52">
        <v>31.6</v>
      </c>
      <c r="I32" s="52">
        <v>37.4</v>
      </c>
      <c r="J32" s="52">
        <v>33.700000000000003</v>
      </c>
      <c r="K32" s="52">
        <v>25.7</v>
      </c>
      <c r="L32" s="52">
        <v>22.6</v>
      </c>
      <c r="M32" s="52">
        <v>22.4</v>
      </c>
      <c r="N32" s="52">
        <v>29.4</v>
      </c>
      <c r="O32" s="52">
        <v>35.6</v>
      </c>
      <c r="P32" s="71">
        <v>27.4</v>
      </c>
      <c r="Q32" s="69"/>
    </row>
    <row r="33" spans="1:21" s="55" customFormat="1" ht="15" customHeight="1">
      <c r="A33" s="54" t="s">
        <v>46</v>
      </c>
      <c r="B33" s="43"/>
      <c r="C33" s="43"/>
      <c r="D33" s="43"/>
      <c r="E33" s="43"/>
      <c r="F33" s="43"/>
      <c r="G33" s="43"/>
      <c r="H33" s="43"/>
      <c r="I33" s="43"/>
      <c r="J33" s="43"/>
      <c r="K33" s="43"/>
      <c r="L33" s="43"/>
      <c r="M33" s="44"/>
      <c r="N33" s="43"/>
      <c r="O33" s="43">
        <v>3</v>
      </c>
      <c r="P33" s="68"/>
      <c r="Q33" s="69"/>
    </row>
    <row r="34" spans="1:21" s="55" customFormat="1" ht="15" customHeight="1">
      <c r="A34" s="54" t="s">
        <v>66</v>
      </c>
      <c r="B34" s="43"/>
      <c r="C34" s="43"/>
      <c r="D34" s="43"/>
      <c r="E34" s="43"/>
      <c r="F34" s="43">
        <v>1</v>
      </c>
      <c r="G34" s="43">
        <v>1</v>
      </c>
      <c r="H34" s="43"/>
      <c r="I34" s="43"/>
      <c r="J34" s="43">
        <v>1</v>
      </c>
      <c r="K34" s="43"/>
      <c r="L34" s="43"/>
      <c r="M34" s="44"/>
      <c r="N34" s="43"/>
      <c r="O34" s="43">
        <v>3</v>
      </c>
      <c r="P34" s="68"/>
      <c r="Q34" s="69"/>
    </row>
    <row r="35" spans="1:21" s="55" customFormat="1" ht="15" customHeight="1">
      <c r="A35" s="54" t="s">
        <v>67</v>
      </c>
      <c r="B35" s="43"/>
      <c r="C35" s="43"/>
      <c r="D35" s="43"/>
      <c r="E35" s="43"/>
      <c r="F35" s="43">
        <v>1</v>
      </c>
      <c r="G35" s="43">
        <v>1</v>
      </c>
      <c r="H35" s="43"/>
      <c r="I35" s="43"/>
      <c r="J35" s="43">
        <v>1</v>
      </c>
      <c r="K35" s="44"/>
      <c r="L35" s="43"/>
      <c r="M35" s="44"/>
      <c r="N35" s="43"/>
      <c r="O35" s="43">
        <v>3</v>
      </c>
      <c r="P35" s="68"/>
      <c r="Q35" s="69"/>
    </row>
    <row r="36" spans="1:21" s="55" customFormat="1" ht="15" customHeight="1">
      <c r="A36" s="54" t="s">
        <v>68</v>
      </c>
      <c r="B36" s="43"/>
      <c r="C36" s="43"/>
      <c r="D36" s="43"/>
      <c r="E36" s="43"/>
      <c r="F36" s="43">
        <v>1</v>
      </c>
      <c r="G36" s="43">
        <v>1</v>
      </c>
      <c r="H36" s="43"/>
      <c r="I36" s="43"/>
      <c r="J36" s="43">
        <v>1</v>
      </c>
      <c r="K36" s="43"/>
      <c r="L36" s="43"/>
      <c r="M36" s="44"/>
      <c r="N36" s="43"/>
      <c r="O36" s="43">
        <v>3</v>
      </c>
      <c r="P36" s="68"/>
      <c r="Q36" s="69"/>
    </row>
    <row r="37" spans="1:21" s="55" customFormat="1" ht="15" customHeight="1">
      <c r="A37" s="56" t="s">
        <v>69</v>
      </c>
      <c r="B37" s="72"/>
      <c r="C37" s="72"/>
      <c r="D37" s="72"/>
      <c r="E37" s="72"/>
      <c r="F37" s="72"/>
      <c r="G37" s="72"/>
      <c r="H37" s="72"/>
      <c r="I37" s="72"/>
      <c r="J37" s="72"/>
      <c r="K37" s="72"/>
      <c r="L37" s="72"/>
      <c r="M37" s="72"/>
      <c r="N37" s="72"/>
      <c r="O37" s="72">
        <v>2</v>
      </c>
      <c r="P37" s="73"/>
      <c r="Q37" s="69"/>
    </row>
    <row r="38" spans="1:21" s="75" customFormat="1" ht="15" customHeight="1">
      <c r="A38" s="57" t="s">
        <v>70</v>
      </c>
      <c r="B38" s="44"/>
      <c r="C38" s="44"/>
      <c r="D38" s="44"/>
      <c r="E38" s="44"/>
      <c r="F38" s="44"/>
      <c r="G38" s="44"/>
      <c r="H38" s="44"/>
      <c r="I38" s="44"/>
      <c r="J38" s="44"/>
      <c r="K38" s="44"/>
      <c r="L38" s="44"/>
      <c r="M38" s="44"/>
      <c r="N38" s="44"/>
      <c r="O38" s="44"/>
      <c r="P38" s="74"/>
      <c r="Q38" s="69"/>
    </row>
    <row r="39" spans="1:21" s="55" customFormat="1" ht="15" customHeight="1">
      <c r="A39" s="57" t="s">
        <v>71</v>
      </c>
      <c r="B39" s="44"/>
      <c r="C39" s="44"/>
      <c r="D39" s="44"/>
      <c r="E39" s="44"/>
      <c r="F39" s="44"/>
      <c r="G39" s="44"/>
      <c r="H39" s="44"/>
      <c r="I39" s="44"/>
      <c r="J39" s="44"/>
      <c r="K39" s="44"/>
      <c r="L39" s="44"/>
      <c r="M39" s="44"/>
      <c r="N39" s="44"/>
      <c r="O39" s="44"/>
      <c r="P39" s="74"/>
      <c r="Q39" s="69"/>
    </row>
    <row r="40" spans="1:21" s="55" customFormat="1" ht="15" customHeight="1">
      <c r="A40" s="56" t="s">
        <v>72</v>
      </c>
      <c r="B40" s="72"/>
      <c r="C40" s="72"/>
      <c r="D40" s="72"/>
      <c r="E40" s="72"/>
      <c r="F40" s="72"/>
      <c r="G40" s="72"/>
      <c r="H40" s="72"/>
      <c r="I40" s="72"/>
      <c r="J40" s="72"/>
      <c r="K40" s="72"/>
      <c r="L40" s="72"/>
      <c r="M40" s="72"/>
      <c r="N40" s="72"/>
      <c r="O40" s="72">
        <v>2</v>
      </c>
      <c r="P40" s="73"/>
      <c r="Q40" s="69"/>
    </row>
    <row r="41" spans="1:21" s="55" customFormat="1" ht="15" customHeight="1" thickBot="1">
      <c r="A41" s="58" t="s">
        <v>73</v>
      </c>
      <c r="B41" s="76"/>
      <c r="C41" s="76"/>
      <c r="D41" s="76"/>
      <c r="E41" s="76"/>
      <c r="F41" s="76"/>
      <c r="G41" s="76"/>
      <c r="H41" s="76"/>
      <c r="I41" s="76"/>
      <c r="J41" s="76"/>
      <c r="K41" s="76"/>
      <c r="L41" s="76"/>
      <c r="M41" s="76"/>
      <c r="N41" s="76"/>
      <c r="O41" s="76">
        <v>2</v>
      </c>
      <c r="P41" s="77"/>
      <c r="Q41" s="69"/>
    </row>
    <row r="42" spans="1:21" s="55" customFormat="1" ht="15" customHeight="1" thickTop="1" thickBot="1">
      <c r="A42" s="61" t="s">
        <v>74</v>
      </c>
      <c r="B42" s="78"/>
      <c r="C42" s="78"/>
      <c r="D42" s="78"/>
      <c r="E42" s="78"/>
      <c r="F42" s="78"/>
      <c r="G42" s="78"/>
      <c r="H42" s="78"/>
      <c r="I42" s="78"/>
      <c r="J42" s="78"/>
      <c r="K42" s="78"/>
      <c r="L42" s="78"/>
      <c r="M42" s="78"/>
      <c r="N42" s="78"/>
      <c r="O42" s="78">
        <v>3</v>
      </c>
      <c r="P42" s="79"/>
      <c r="Q42" s="69"/>
    </row>
    <row r="43" spans="1:21" s="55" customFormat="1" ht="30" customHeight="1">
      <c r="A43" s="242" t="s">
        <v>93</v>
      </c>
      <c r="B43" s="242"/>
      <c r="C43" s="242"/>
      <c r="D43" s="242"/>
      <c r="E43" s="242"/>
      <c r="F43" s="242"/>
      <c r="G43" s="242"/>
      <c r="H43" s="242"/>
      <c r="I43" s="242"/>
      <c r="J43" s="242"/>
      <c r="K43" s="242"/>
      <c r="L43" s="242"/>
      <c r="M43" s="242"/>
      <c r="N43" s="242"/>
      <c r="O43" s="242"/>
      <c r="P43" s="242"/>
      <c r="Q43" s="242"/>
      <c r="R43" s="242"/>
      <c r="S43" s="243"/>
      <c r="T43" s="244"/>
      <c r="U43" s="244"/>
    </row>
    <row r="44" spans="1:21" s="55" customFormat="1" ht="15" customHeight="1">
      <c r="A44" s="242"/>
      <c r="B44" s="243"/>
      <c r="C44" s="243"/>
      <c r="D44" s="243"/>
      <c r="E44" s="243"/>
      <c r="F44" s="243"/>
      <c r="G44" s="243"/>
      <c r="H44" s="243"/>
      <c r="I44" s="243"/>
      <c r="J44" s="243"/>
      <c r="K44" s="243"/>
      <c r="L44" s="243"/>
      <c r="M44" s="243"/>
      <c r="N44" s="243"/>
      <c r="O44" s="243"/>
      <c r="P44" s="243"/>
      <c r="Q44" s="243"/>
      <c r="R44" s="243"/>
      <c r="S44" s="243"/>
    </row>
  </sheetData>
  <mergeCells count="2">
    <mergeCell ref="A43:U43"/>
    <mergeCell ref="A44:S44"/>
  </mergeCells>
  <phoneticPr fontId="5"/>
  <pageMargins left="0.7" right="0.7" top="0.75" bottom="0.75" header="0.3" footer="0.3"/>
  <pageSetup paperSize="9" scale="54"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U45"/>
  <sheetViews>
    <sheetView view="pageBreakPreview" zoomScale="70" zoomScaleNormal="100" zoomScaleSheetLayoutView="70" workbookViewId="0"/>
  </sheetViews>
  <sheetFormatPr defaultRowHeight="15"/>
  <cols>
    <col min="1" max="1" width="23.25" style="81" customWidth="1"/>
    <col min="2" max="22" width="6" style="81" customWidth="1"/>
    <col min="23" max="16384" width="9" style="81"/>
  </cols>
  <sheetData>
    <row r="1" spans="1:21" ht="15" customHeight="1">
      <c r="A1" s="33" t="s">
        <v>361</v>
      </c>
      <c r="B1" s="51"/>
      <c r="C1" s="51"/>
      <c r="D1" s="51"/>
      <c r="E1" s="51"/>
      <c r="F1" s="51"/>
      <c r="G1" s="51"/>
      <c r="H1" s="51"/>
      <c r="I1" s="51"/>
      <c r="J1" s="51"/>
      <c r="K1" s="51"/>
      <c r="L1" s="51"/>
      <c r="M1" s="51"/>
      <c r="N1" s="51"/>
      <c r="O1" s="51"/>
      <c r="P1" s="51"/>
      <c r="Q1" s="51"/>
      <c r="R1" s="51"/>
      <c r="S1" s="51"/>
      <c r="T1" s="51"/>
      <c r="U1" s="51"/>
    </row>
    <row r="2" spans="1:21" ht="15" customHeight="1">
      <c r="A2" s="1" t="s">
        <v>75</v>
      </c>
      <c r="B2" s="51"/>
      <c r="C2" s="51"/>
      <c r="D2" s="51"/>
      <c r="E2" s="51"/>
      <c r="F2" s="51"/>
      <c r="G2" s="51"/>
      <c r="H2" s="51"/>
      <c r="I2" s="51"/>
      <c r="J2" s="51"/>
      <c r="K2" s="51"/>
      <c r="L2" s="51"/>
      <c r="M2" s="51"/>
      <c r="N2" s="51"/>
      <c r="O2" s="51"/>
      <c r="P2" s="51"/>
      <c r="Q2" s="51"/>
      <c r="R2" s="51"/>
      <c r="S2" s="51"/>
      <c r="T2" s="51"/>
      <c r="U2" s="51"/>
    </row>
    <row r="3" spans="1:21" ht="15" customHeight="1">
      <c r="A3" s="37" t="s">
        <v>96</v>
      </c>
      <c r="B3" s="51"/>
      <c r="C3" s="51"/>
      <c r="D3" s="51"/>
      <c r="E3" s="51"/>
      <c r="F3" s="51"/>
      <c r="G3" s="51"/>
      <c r="H3" s="51"/>
      <c r="I3" s="51"/>
      <c r="J3" s="51"/>
      <c r="K3" s="51"/>
      <c r="L3" s="51"/>
      <c r="M3" s="51"/>
      <c r="N3" s="51"/>
      <c r="O3" s="51"/>
      <c r="P3" s="51"/>
      <c r="Q3" s="51"/>
      <c r="R3" s="51"/>
      <c r="S3" s="51"/>
      <c r="T3" s="51"/>
      <c r="U3" s="51"/>
    </row>
    <row r="4" spans="1:21" ht="15" customHeight="1" thickBot="1">
      <c r="A4" s="37" t="s">
        <v>76</v>
      </c>
      <c r="B4" s="51"/>
      <c r="C4" s="51"/>
      <c r="D4" s="51"/>
      <c r="E4" s="51"/>
      <c r="F4" s="51"/>
      <c r="G4" s="51"/>
      <c r="H4" s="51"/>
      <c r="I4" s="51"/>
      <c r="J4" s="51"/>
      <c r="K4" s="51"/>
      <c r="L4" s="51"/>
      <c r="M4" s="51"/>
      <c r="N4" s="51"/>
      <c r="O4" s="51"/>
      <c r="P4" s="51"/>
      <c r="Q4" s="51"/>
      <c r="R4" s="51"/>
      <c r="S4" s="51"/>
      <c r="T4" s="51"/>
      <c r="U4" s="51"/>
    </row>
    <row r="5" spans="1:21" ht="15" customHeight="1">
      <c r="A5" s="38" t="s">
        <v>77</v>
      </c>
      <c r="B5" s="39">
        <v>1</v>
      </c>
      <c r="C5" s="39">
        <v>2</v>
      </c>
      <c r="D5" s="82" t="s">
        <v>78</v>
      </c>
      <c r="E5" s="39">
        <v>4</v>
      </c>
      <c r="F5" s="82" t="s">
        <v>79</v>
      </c>
      <c r="G5" s="39">
        <v>6</v>
      </c>
      <c r="H5" s="40">
        <v>7</v>
      </c>
      <c r="I5" s="40">
        <v>8</v>
      </c>
      <c r="J5" s="39">
        <v>9</v>
      </c>
      <c r="K5" s="39">
        <v>10</v>
      </c>
      <c r="L5" s="39">
        <v>11</v>
      </c>
      <c r="M5" s="39">
        <v>12</v>
      </c>
      <c r="N5" s="39">
        <v>13</v>
      </c>
      <c r="O5" s="39">
        <v>14</v>
      </c>
      <c r="P5" s="39">
        <v>15</v>
      </c>
      <c r="Q5" s="39">
        <v>16</v>
      </c>
      <c r="R5" s="39">
        <v>17</v>
      </c>
      <c r="S5" s="39">
        <v>18</v>
      </c>
      <c r="T5" s="39">
        <v>19</v>
      </c>
      <c r="U5" s="41">
        <v>20</v>
      </c>
    </row>
    <row r="6" spans="1:21" s="83" customFormat="1" ht="15" customHeight="1">
      <c r="A6" s="54" t="s">
        <v>80</v>
      </c>
      <c r="B6" s="43" t="s">
        <v>32</v>
      </c>
      <c r="C6" s="43" t="s">
        <v>32</v>
      </c>
      <c r="D6" s="43" t="s">
        <v>32</v>
      </c>
      <c r="E6" s="43" t="s">
        <v>32</v>
      </c>
      <c r="F6" s="43" t="s">
        <v>32</v>
      </c>
      <c r="G6" s="43" t="s">
        <v>33</v>
      </c>
      <c r="H6" s="44" t="s">
        <v>33</v>
      </c>
      <c r="I6" s="44" t="s">
        <v>33</v>
      </c>
      <c r="J6" s="43" t="s">
        <v>33</v>
      </c>
      <c r="K6" s="43" t="s">
        <v>33</v>
      </c>
      <c r="L6" s="43" t="s">
        <v>34</v>
      </c>
      <c r="M6" s="43" t="s">
        <v>34</v>
      </c>
      <c r="N6" s="43" t="s">
        <v>34</v>
      </c>
      <c r="O6" s="43" t="s">
        <v>34</v>
      </c>
      <c r="P6" s="43" t="s">
        <v>34</v>
      </c>
      <c r="Q6" s="43" t="s">
        <v>35</v>
      </c>
      <c r="R6" s="43" t="s">
        <v>35</v>
      </c>
      <c r="S6" s="43" t="s">
        <v>35</v>
      </c>
      <c r="T6" s="43" t="s">
        <v>35</v>
      </c>
      <c r="U6" s="45" t="s">
        <v>35</v>
      </c>
    </row>
    <row r="7" spans="1:21" s="83" customFormat="1" ht="158.25" customHeight="1">
      <c r="A7" s="47" t="s">
        <v>36</v>
      </c>
      <c r="B7" s="48" t="s">
        <v>81</v>
      </c>
      <c r="C7" s="48" t="s">
        <v>81</v>
      </c>
      <c r="D7" s="48" t="s">
        <v>81</v>
      </c>
      <c r="E7" s="48" t="s">
        <v>81</v>
      </c>
      <c r="F7" s="48" t="s">
        <v>81</v>
      </c>
      <c r="G7" s="48" t="s">
        <v>81</v>
      </c>
      <c r="H7" s="48" t="s">
        <v>82</v>
      </c>
      <c r="I7" s="48" t="s">
        <v>81</v>
      </c>
      <c r="J7" s="48" t="s">
        <v>81</v>
      </c>
      <c r="K7" s="48" t="s">
        <v>81</v>
      </c>
      <c r="L7" s="48" t="s">
        <v>81</v>
      </c>
      <c r="M7" s="48" t="s">
        <v>81</v>
      </c>
      <c r="N7" s="48" t="s">
        <v>81</v>
      </c>
      <c r="O7" s="48" t="s">
        <v>81</v>
      </c>
      <c r="P7" s="48" t="s">
        <v>81</v>
      </c>
      <c r="Q7" s="48" t="s">
        <v>81</v>
      </c>
      <c r="R7" s="48" t="s">
        <v>81</v>
      </c>
      <c r="S7" s="48" t="s">
        <v>81</v>
      </c>
      <c r="T7" s="48" t="s">
        <v>81</v>
      </c>
      <c r="U7" s="49" t="s">
        <v>81</v>
      </c>
    </row>
    <row r="8" spans="1:21" s="83" customFormat="1" ht="15" customHeight="1">
      <c r="A8" s="50" t="s">
        <v>42</v>
      </c>
      <c r="B8" s="43"/>
      <c r="C8" s="43"/>
      <c r="D8" s="43"/>
      <c r="E8" s="43" t="s">
        <v>65</v>
      </c>
      <c r="F8" s="43"/>
      <c r="G8" s="43"/>
      <c r="H8" s="43" t="s">
        <v>43</v>
      </c>
      <c r="I8" s="43"/>
      <c r="J8" s="43"/>
      <c r="K8" s="43"/>
      <c r="L8" s="43"/>
      <c r="M8" s="43" t="s">
        <v>65</v>
      </c>
      <c r="N8" s="43" t="s">
        <v>65</v>
      </c>
      <c r="O8" s="44" t="s">
        <v>43</v>
      </c>
      <c r="P8" s="43"/>
      <c r="Q8" s="43"/>
      <c r="R8" s="43"/>
      <c r="S8" s="43" t="s">
        <v>65</v>
      </c>
      <c r="T8" s="43" t="s">
        <v>65</v>
      </c>
      <c r="U8" s="45" t="s">
        <v>65</v>
      </c>
    </row>
    <row r="9" spans="1:21" s="83" customFormat="1" ht="15" customHeight="1">
      <c r="A9" s="50" t="s">
        <v>44</v>
      </c>
      <c r="B9" s="52">
        <v>14.3</v>
      </c>
      <c r="C9" s="52">
        <v>13.5</v>
      </c>
      <c r="D9" s="52">
        <v>14.9</v>
      </c>
      <c r="E9" s="52">
        <v>12.4</v>
      </c>
      <c r="F9" s="52">
        <v>15.5</v>
      </c>
      <c r="G9" s="52">
        <v>16.3</v>
      </c>
      <c r="H9" s="52">
        <v>17</v>
      </c>
      <c r="I9" s="52">
        <v>16.3</v>
      </c>
      <c r="J9" s="52">
        <v>16</v>
      </c>
      <c r="K9" s="52">
        <v>15</v>
      </c>
      <c r="L9" s="52">
        <v>15.8</v>
      </c>
      <c r="M9" s="52">
        <v>14.3</v>
      </c>
      <c r="N9" s="52">
        <v>14.5</v>
      </c>
      <c r="O9" s="52">
        <v>16.600000000000001</v>
      </c>
      <c r="P9" s="52">
        <v>15.9</v>
      </c>
      <c r="Q9" s="52">
        <v>12.9</v>
      </c>
      <c r="R9" s="52">
        <v>14.5</v>
      </c>
      <c r="S9" s="52">
        <v>12.2</v>
      </c>
      <c r="T9" s="52">
        <v>12.8</v>
      </c>
      <c r="U9" s="53">
        <v>12.8</v>
      </c>
    </row>
    <row r="10" spans="1:21" s="83" customFormat="1" ht="15" customHeight="1">
      <c r="A10" s="50" t="s">
        <v>45</v>
      </c>
      <c r="B10" s="52">
        <v>20.6</v>
      </c>
      <c r="C10" s="52">
        <v>16</v>
      </c>
      <c r="D10" s="52">
        <v>18</v>
      </c>
      <c r="E10" s="52">
        <v>15</v>
      </c>
      <c r="F10" s="52">
        <v>17.5</v>
      </c>
      <c r="G10" s="52">
        <v>24</v>
      </c>
      <c r="H10" s="52">
        <v>26.9</v>
      </c>
      <c r="I10" s="52">
        <v>22.2</v>
      </c>
      <c r="J10" s="52">
        <v>17.7</v>
      </c>
      <c r="K10" s="52">
        <v>19.2</v>
      </c>
      <c r="L10" s="52">
        <v>15</v>
      </c>
      <c r="M10" s="52">
        <v>16.3</v>
      </c>
      <c r="N10" s="52">
        <v>16.100000000000001</v>
      </c>
      <c r="O10" s="52">
        <v>20.7</v>
      </c>
      <c r="P10" s="52">
        <v>19</v>
      </c>
      <c r="Q10" s="52">
        <v>22</v>
      </c>
      <c r="R10" s="52">
        <v>17.3</v>
      </c>
      <c r="S10" s="52">
        <v>11.4</v>
      </c>
      <c r="T10" s="52">
        <v>12.1</v>
      </c>
      <c r="U10" s="53">
        <v>18.100000000000001</v>
      </c>
    </row>
    <row r="11" spans="1:21" s="83" customFormat="1" ht="15" customHeight="1">
      <c r="A11" s="54" t="s">
        <v>46</v>
      </c>
      <c r="B11" s="43"/>
      <c r="C11" s="43"/>
      <c r="D11" s="43"/>
      <c r="E11" s="43"/>
      <c r="F11" s="43"/>
      <c r="G11" s="43"/>
      <c r="H11" s="43"/>
      <c r="I11" s="43"/>
      <c r="J11" s="43"/>
      <c r="K11" s="43"/>
      <c r="L11" s="43"/>
      <c r="M11" s="43"/>
      <c r="N11" s="43"/>
      <c r="O11" s="44"/>
      <c r="P11" s="43"/>
      <c r="Q11" s="43"/>
      <c r="R11" s="43"/>
      <c r="S11" s="43">
        <v>1</v>
      </c>
      <c r="T11" s="43">
        <v>1</v>
      </c>
      <c r="U11" s="45">
        <v>1</v>
      </c>
    </row>
    <row r="12" spans="1:21" s="83" customFormat="1" ht="15" customHeight="1">
      <c r="A12" s="54" t="s">
        <v>66</v>
      </c>
      <c r="B12" s="43"/>
      <c r="C12" s="43">
        <v>1</v>
      </c>
      <c r="D12" s="43"/>
      <c r="E12" s="43">
        <v>1</v>
      </c>
      <c r="F12" s="43">
        <v>1</v>
      </c>
      <c r="G12" s="43"/>
      <c r="H12" s="43"/>
      <c r="I12" s="43">
        <v>1</v>
      </c>
      <c r="J12" s="43"/>
      <c r="K12" s="43">
        <v>1</v>
      </c>
      <c r="L12" s="43">
        <v>1</v>
      </c>
      <c r="M12" s="43">
        <v>1</v>
      </c>
      <c r="N12" s="43">
        <v>1</v>
      </c>
      <c r="O12" s="44">
        <v>1</v>
      </c>
      <c r="P12" s="43">
        <v>1</v>
      </c>
      <c r="Q12" s="43"/>
      <c r="R12" s="43">
        <v>1</v>
      </c>
      <c r="S12" s="43">
        <v>1</v>
      </c>
      <c r="T12" s="43">
        <v>1</v>
      </c>
      <c r="U12" s="45">
        <v>1</v>
      </c>
    </row>
    <row r="13" spans="1:21" s="83" customFormat="1" ht="15" customHeight="1">
      <c r="A13" s="54" t="s">
        <v>67</v>
      </c>
      <c r="B13" s="43"/>
      <c r="C13" s="43"/>
      <c r="D13" s="43"/>
      <c r="E13" s="43"/>
      <c r="F13" s="43"/>
      <c r="G13" s="43"/>
      <c r="H13" s="43"/>
      <c r="I13" s="43"/>
      <c r="J13" s="43"/>
      <c r="K13" s="43"/>
      <c r="L13" s="44"/>
      <c r="M13" s="43"/>
      <c r="N13" s="43"/>
      <c r="O13" s="44"/>
      <c r="P13" s="43"/>
      <c r="Q13" s="43"/>
      <c r="R13" s="43"/>
      <c r="S13" s="43"/>
      <c r="T13" s="43"/>
      <c r="U13" s="45"/>
    </row>
    <row r="14" spans="1:21" s="83" customFormat="1" ht="15" customHeight="1">
      <c r="A14" s="54" t="s">
        <v>68</v>
      </c>
      <c r="B14" s="43">
        <v>1</v>
      </c>
      <c r="C14" s="43"/>
      <c r="D14" s="43"/>
      <c r="E14" s="43">
        <v>1</v>
      </c>
      <c r="F14" s="43"/>
      <c r="G14" s="43"/>
      <c r="H14" s="43"/>
      <c r="I14" s="43"/>
      <c r="J14" s="43"/>
      <c r="K14" s="43">
        <v>1</v>
      </c>
      <c r="L14" s="43"/>
      <c r="M14" s="43">
        <v>1</v>
      </c>
      <c r="N14" s="43"/>
      <c r="O14" s="44"/>
      <c r="P14" s="43"/>
      <c r="Q14" s="43"/>
      <c r="R14" s="43"/>
      <c r="S14" s="43"/>
      <c r="T14" s="43"/>
      <c r="U14" s="45"/>
    </row>
    <row r="15" spans="1:21" s="83" customFormat="1" ht="15" customHeight="1">
      <c r="A15" s="84" t="s">
        <v>69</v>
      </c>
      <c r="B15" s="72"/>
      <c r="C15" s="72"/>
      <c r="D15" s="72"/>
      <c r="E15" s="72"/>
      <c r="F15" s="72"/>
      <c r="G15" s="72"/>
      <c r="H15" s="72"/>
      <c r="I15" s="72"/>
      <c r="J15" s="72"/>
      <c r="K15" s="72"/>
      <c r="L15" s="72"/>
      <c r="M15" s="72"/>
      <c r="N15" s="72"/>
      <c r="O15" s="72"/>
      <c r="P15" s="72"/>
      <c r="Q15" s="72"/>
      <c r="R15" s="72"/>
      <c r="S15" s="72"/>
      <c r="T15" s="72"/>
      <c r="U15" s="85"/>
    </row>
    <row r="16" spans="1:21" s="83" customFormat="1" ht="15" customHeight="1">
      <c r="A16" s="86" t="s">
        <v>70</v>
      </c>
      <c r="B16" s="44"/>
      <c r="C16" s="44"/>
      <c r="D16" s="44"/>
      <c r="E16" s="44"/>
      <c r="F16" s="44"/>
      <c r="G16" s="44"/>
      <c r="H16" s="44"/>
      <c r="I16" s="44"/>
      <c r="J16" s="44"/>
      <c r="K16" s="44"/>
      <c r="L16" s="44"/>
      <c r="M16" s="44"/>
      <c r="N16" s="44"/>
      <c r="O16" s="44"/>
      <c r="P16" s="44"/>
      <c r="Q16" s="44"/>
      <c r="R16" s="44"/>
      <c r="S16" s="44"/>
      <c r="T16" s="44"/>
      <c r="U16" s="87"/>
    </row>
    <row r="17" spans="1:21" s="83" customFormat="1" ht="15" customHeight="1">
      <c r="A17" s="86" t="s">
        <v>71</v>
      </c>
      <c r="B17" s="44"/>
      <c r="C17" s="44"/>
      <c r="D17" s="44"/>
      <c r="E17" s="44"/>
      <c r="F17" s="44"/>
      <c r="G17" s="44"/>
      <c r="H17" s="44"/>
      <c r="I17" s="44"/>
      <c r="J17" s="44"/>
      <c r="K17" s="44"/>
      <c r="L17" s="44"/>
      <c r="M17" s="44"/>
      <c r="N17" s="44"/>
      <c r="O17" s="44"/>
      <c r="P17" s="44"/>
      <c r="Q17" s="44"/>
      <c r="R17" s="44"/>
      <c r="S17" s="44"/>
      <c r="T17" s="44"/>
      <c r="U17" s="87"/>
    </row>
    <row r="18" spans="1:21" s="83" customFormat="1" ht="15" customHeight="1">
      <c r="A18" s="84" t="s">
        <v>72</v>
      </c>
      <c r="B18" s="72"/>
      <c r="C18" s="72"/>
      <c r="D18" s="72"/>
      <c r="E18" s="72"/>
      <c r="F18" s="72"/>
      <c r="G18" s="72"/>
      <c r="H18" s="72"/>
      <c r="I18" s="72"/>
      <c r="J18" s="72"/>
      <c r="K18" s="72"/>
      <c r="L18" s="72"/>
      <c r="M18" s="72"/>
      <c r="N18" s="72"/>
      <c r="O18" s="72"/>
      <c r="P18" s="72"/>
      <c r="Q18" s="72"/>
      <c r="R18" s="72"/>
      <c r="S18" s="72"/>
      <c r="T18" s="72"/>
      <c r="U18" s="85"/>
    </row>
    <row r="19" spans="1:21" s="83" customFormat="1" ht="15" customHeight="1" thickBot="1">
      <c r="A19" s="88" t="s">
        <v>73</v>
      </c>
      <c r="B19" s="76"/>
      <c r="C19" s="76"/>
      <c r="D19" s="76"/>
      <c r="E19" s="76"/>
      <c r="F19" s="76"/>
      <c r="G19" s="76"/>
      <c r="H19" s="76"/>
      <c r="I19" s="76"/>
      <c r="J19" s="76"/>
      <c r="K19" s="76"/>
      <c r="L19" s="76"/>
      <c r="M19" s="76"/>
      <c r="N19" s="76"/>
      <c r="O19" s="76"/>
      <c r="P19" s="76"/>
      <c r="Q19" s="76"/>
      <c r="R19" s="76"/>
      <c r="S19" s="76"/>
      <c r="T19" s="76"/>
      <c r="U19" s="89"/>
    </row>
    <row r="20" spans="1:21" s="83" customFormat="1" ht="15" customHeight="1" thickTop="1" thickBot="1">
      <c r="A20" s="90" t="s">
        <v>74</v>
      </c>
      <c r="B20" s="78"/>
      <c r="C20" s="78"/>
      <c r="D20" s="78"/>
      <c r="E20" s="78"/>
      <c r="F20" s="78"/>
      <c r="G20" s="78"/>
      <c r="H20" s="78"/>
      <c r="I20" s="78"/>
      <c r="J20" s="78"/>
      <c r="K20" s="78"/>
      <c r="L20" s="78"/>
      <c r="M20" s="78"/>
      <c r="N20" s="78"/>
      <c r="O20" s="78"/>
      <c r="P20" s="78"/>
      <c r="Q20" s="78"/>
      <c r="R20" s="78"/>
      <c r="S20" s="78"/>
      <c r="T20" s="78"/>
      <c r="U20" s="91"/>
    </row>
    <row r="21" spans="1:21" s="83" customFormat="1" ht="15" customHeight="1">
      <c r="A21" s="245" t="s">
        <v>95</v>
      </c>
      <c r="B21" s="245"/>
      <c r="C21" s="245"/>
      <c r="D21" s="245"/>
      <c r="E21" s="245"/>
      <c r="F21" s="245"/>
      <c r="G21" s="245"/>
      <c r="H21" s="245"/>
      <c r="I21" s="245"/>
      <c r="J21" s="245"/>
      <c r="K21" s="245"/>
      <c r="L21" s="245"/>
      <c r="M21" s="245"/>
      <c r="N21" s="245"/>
      <c r="O21" s="245"/>
      <c r="P21" s="245"/>
      <c r="Q21" s="245"/>
      <c r="R21" s="245"/>
      <c r="S21" s="245"/>
      <c r="T21" s="245"/>
      <c r="U21" s="245"/>
    </row>
    <row r="22" spans="1:21" ht="15" customHeight="1">
      <c r="A22" s="246"/>
      <c r="B22" s="246"/>
      <c r="C22" s="246"/>
      <c r="D22" s="246"/>
      <c r="E22" s="246"/>
      <c r="F22" s="246"/>
      <c r="G22" s="246"/>
      <c r="H22" s="246"/>
      <c r="I22" s="246"/>
      <c r="J22" s="246"/>
      <c r="K22" s="246"/>
      <c r="L22" s="246"/>
      <c r="M22" s="246"/>
      <c r="N22" s="246"/>
      <c r="O22" s="246"/>
      <c r="P22" s="246"/>
      <c r="Q22" s="246"/>
      <c r="R22" s="246"/>
      <c r="S22" s="246"/>
      <c r="T22" s="246"/>
      <c r="U22" s="246"/>
    </row>
    <row r="23" spans="1:21" ht="15" customHeight="1">
      <c r="A23" s="92"/>
      <c r="B23" s="92"/>
      <c r="C23" s="92"/>
      <c r="D23" s="92"/>
      <c r="E23" s="92"/>
      <c r="F23" s="92"/>
      <c r="G23" s="92"/>
      <c r="H23" s="92"/>
      <c r="I23" s="92"/>
      <c r="J23" s="92"/>
      <c r="K23" s="92"/>
      <c r="L23" s="92"/>
      <c r="M23" s="92"/>
      <c r="N23" s="92"/>
      <c r="O23" s="92"/>
      <c r="P23" s="92"/>
      <c r="Q23" s="92"/>
      <c r="R23" s="92"/>
      <c r="S23" s="92"/>
      <c r="T23" s="92"/>
      <c r="U23" s="92"/>
    </row>
    <row r="24" spans="1:21" ht="15" customHeight="1">
      <c r="A24" s="33" t="s">
        <v>362</v>
      </c>
      <c r="B24" s="51"/>
      <c r="C24" s="51"/>
      <c r="D24" s="51"/>
      <c r="E24" s="51"/>
      <c r="F24" s="51"/>
      <c r="G24" s="51"/>
      <c r="H24" s="51"/>
      <c r="I24" s="51"/>
      <c r="J24" s="51"/>
      <c r="K24" s="51"/>
      <c r="L24" s="51"/>
      <c r="M24" s="51"/>
      <c r="N24" s="51"/>
      <c r="O24" s="51"/>
      <c r="P24" s="51"/>
      <c r="Q24" s="51"/>
      <c r="R24" s="51"/>
      <c r="S24" s="51"/>
      <c r="T24" s="51"/>
      <c r="U24" s="51"/>
    </row>
    <row r="25" spans="1:21" ht="15" customHeight="1">
      <c r="A25" s="1" t="s">
        <v>83</v>
      </c>
      <c r="B25" s="51"/>
      <c r="C25" s="51"/>
      <c r="D25" s="51"/>
      <c r="E25" s="51"/>
      <c r="F25" s="51"/>
      <c r="G25" s="51"/>
      <c r="H25" s="51"/>
      <c r="I25" s="51"/>
      <c r="J25" s="51"/>
      <c r="K25" s="51"/>
      <c r="L25" s="51"/>
      <c r="M25" s="51"/>
      <c r="N25" s="51"/>
      <c r="O25" s="51"/>
      <c r="P25" s="51"/>
      <c r="Q25" s="51"/>
      <c r="R25" s="51"/>
      <c r="S25" s="51"/>
      <c r="T25" s="51"/>
      <c r="U25" s="51"/>
    </row>
    <row r="26" spans="1:21" ht="15" customHeight="1">
      <c r="A26" s="37" t="s">
        <v>97</v>
      </c>
      <c r="B26" s="51"/>
      <c r="C26" s="51"/>
      <c r="D26" s="51"/>
      <c r="E26" s="51"/>
      <c r="F26" s="51"/>
      <c r="G26" s="51"/>
      <c r="H26" s="51"/>
      <c r="I26" s="51"/>
      <c r="J26" s="51"/>
      <c r="K26" s="51"/>
      <c r="L26" s="51"/>
      <c r="M26" s="51"/>
      <c r="N26" s="51"/>
      <c r="O26" s="51"/>
      <c r="P26" s="51"/>
      <c r="Q26" s="51"/>
      <c r="R26" s="51"/>
      <c r="S26" s="51"/>
      <c r="T26" s="51"/>
      <c r="U26" s="51"/>
    </row>
    <row r="27" spans="1:21" ht="15" customHeight="1" thickBot="1">
      <c r="A27" s="37" t="s">
        <v>84</v>
      </c>
      <c r="B27" s="51"/>
      <c r="C27" s="51"/>
      <c r="D27" s="51"/>
      <c r="E27" s="51"/>
      <c r="F27" s="51"/>
      <c r="G27" s="51"/>
      <c r="H27" s="51"/>
      <c r="I27" s="51"/>
      <c r="J27" s="51"/>
      <c r="K27" s="51"/>
      <c r="L27" s="51"/>
      <c r="M27" s="51"/>
      <c r="N27" s="51"/>
      <c r="O27" s="51"/>
      <c r="P27" s="51"/>
      <c r="Q27" s="51"/>
      <c r="R27" s="51"/>
      <c r="S27" s="51"/>
      <c r="T27" s="51"/>
      <c r="U27" s="51"/>
    </row>
    <row r="28" spans="1:21" s="83" customFormat="1" ht="15" customHeight="1">
      <c r="A28" s="38" t="s">
        <v>85</v>
      </c>
      <c r="B28" s="39">
        <v>1</v>
      </c>
      <c r="C28" s="39">
        <v>2</v>
      </c>
      <c r="D28" s="39">
        <v>3</v>
      </c>
      <c r="E28" s="39">
        <v>4</v>
      </c>
      <c r="F28" s="39">
        <v>5</v>
      </c>
      <c r="G28" s="39">
        <v>6</v>
      </c>
      <c r="H28" s="39">
        <v>7</v>
      </c>
      <c r="I28" s="39">
        <v>8</v>
      </c>
      <c r="J28" s="39">
        <v>9</v>
      </c>
      <c r="K28" s="39">
        <v>10</v>
      </c>
      <c r="L28" s="39" t="s">
        <v>86</v>
      </c>
      <c r="M28" s="39" t="s">
        <v>87</v>
      </c>
      <c r="N28" s="39" t="s">
        <v>88</v>
      </c>
      <c r="O28" s="40" t="s">
        <v>89</v>
      </c>
      <c r="P28" s="39">
        <v>15</v>
      </c>
      <c r="Q28" s="39">
        <v>16</v>
      </c>
      <c r="R28" s="39">
        <v>17</v>
      </c>
      <c r="S28" s="39">
        <v>18</v>
      </c>
      <c r="T28" s="39">
        <v>19</v>
      </c>
      <c r="U28" s="41">
        <v>20</v>
      </c>
    </row>
    <row r="29" spans="1:21" s="83" customFormat="1" ht="15" customHeight="1">
      <c r="A29" s="54" t="s">
        <v>90</v>
      </c>
      <c r="B29" s="93" t="s">
        <v>3</v>
      </c>
      <c r="C29" s="93" t="s">
        <v>3</v>
      </c>
      <c r="D29" s="93" t="s">
        <v>3</v>
      </c>
      <c r="E29" s="93" t="s">
        <v>3</v>
      </c>
      <c r="F29" s="93" t="s">
        <v>3</v>
      </c>
      <c r="G29" s="93" t="s">
        <v>0</v>
      </c>
      <c r="H29" s="93" t="s">
        <v>0</v>
      </c>
      <c r="I29" s="93" t="s">
        <v>0</v>
      </c>
      <c r="J29" s="93" t="s">
        <v>0</v>
      </c>
      <c r="K29" s="93" t="s">
        <v>0</v>
      </c>
      <c r="L29" s="93" t="s">
        <v>1</v>
      </c>
      <c r="M29" s="93" t="s">
        <v>1</v>
      </c>
      <c r="N29" s="93" t="s">
        <v>1</v>
      </c>
      <c r="O29" s="44" t="s">
        <v>1</v>
      </c>
      <c r="P29" s="93" t="s">
        <v>1</v>
      </c>
      <c r="Q29" s="93" t="s">
        <v>2</v>
      </c>
      <c r="R29" s="93" t="s">
        <v>2</v>
      </c>
      <c r="S29" s="93" t="s">
        <v>2</v>
      </c>
      <c r="T29" s="93" t="s">
        <v>2</v>
      </c>
      <c r="U29" s="94" t="s">
        <v>2</v>
      </c>
    </row>
    <row r="30" spans="1:21" s="83" customFormat="1" ht="153.75" customHeight="1">
      <c r="A30" s="47" t="s">
        <v>36</v>
      </c>
      <c r="B30" s="48" t="s">
        <v>81</v>
      </c>
      <c r="C30" s="48" t="s">
        <v>81</v>
      </c>
      <c r="D30" s="48" t="s">
        <v>81</v>
      </c>
      <c r="E30" s="48" t="s">
        <v>81</v>
      </c>
      <c r="F30" s="48" t="s">
        <v>81</v>
      </c>
      <c r="G30" s="48" t="s">
        <v>81</v>
      </c>
      <c r="H30" s="48" t="s">
        <v>81</v>
      </c>
      <c r="I30" s="48" t="s">
        <v>81</v>
      </c>
      <c r="J30" s="48" t="s">
        <v>81</v>
      </c>
      <c r="K30" s="48" t="s">
        <v>81</v>
      </c>
      <c r="L30" s="48" t="s">
        <v>81</v>
      </c>
      <c r="M30" s="48" t="s">
        <v>81</v>
      </c>
      <c r="N30" s="48" t="s">
        <v>81</v>
      </c>
      <c r="O30" s="48" t="s">
        <v>81</v>
      </c>
      <c r="P30" s="48" t="s">
        <v>81</v>
      </c>
      <c r="Q30" s="48" t="s">
        <v>81</v>
      </c>
      <c r="R30" s="48" t="s">
        <v>81</v>
      </c>
      <c r="S30" s="48" t="s">
        <v>81</v>
      </c>
      <c r="T30" s="48" t="s">
        <v>81</v>
      </c>
      <c r="U30" s="49" t="s">
        <v>81</v>
      </c>
    </row>
    <row r="31" spans="1:21" s="83" customFormat="1" ht="15" customHeight="1">
      <c r="A31" s="50" t="s">
        <v>42</v>
      </c>
      <c r="B31" s="43"/>
      <c r="C31" s="43"/>
      <c r="D31" s="43"/>
      <c r="E31" s="43"/>
      <c r="F31" s="43"/>
      <c r="G31" s="43"/>
      <c r="H31" s="43"/>
      <c r="I31" s="43"/>
      <c r="J31" s="43"/>
      <c r="K31" s="43"/>
      <c r="L31" s="43" t="s">
        <v>65</v>
      </c>
      <c r="M31" s="43"/>
      <c r="N31" s="43"/>
      <c r="O31" s="44"/>
      <c r="P31" s="43"/>
      <c r="Q31" s="43"/>
      <c r="R31" s="43" t="s">
        <v>65</v>
      </c>
      <c r="S31" s="43"/>
      <c r="T31" s="43"/>
      <c r="U31" s="45" t="s">
        <v>65</v>
      </c>
    </row>
    <row r="32" spans="1:21" s="83" customFormat="1" ht="15" customHeight="1">
      <c r="A32" s="50" t="s">
        <v>44</v>
      </c>
      <c r="B32" s="52">
        <v>30</v>
      </c>
      <c r="C32" s="52">
        <v>28.4</v>
      </c>
      <c r="D32" s="52">
        <v>30.7</v>
      </c>
      <c r="E32" s="52">
        <v>28.7</v>
      </c>
      <c r="F32" s="52">
        <v>28.1</v>
      </c>
      <c r="G32" s="52">
        <v>31.8</v>
      </c>
      <c r="H32" s="52">
        <v>28.3</v>
      </c>
      <c r="I32" s="52">
        <v>30.2</v>
      </c>
      <c r="J32" s="52">
        <v>30</v>
      </c>
      <c r="K32" s="52">
        <v>28.5</v>
      </c>
      <c r="L32" s="52">
        <v>25.5</v>
      </c>
      <c r="M32" s="52">
        <v>29.8</v>
      </c>
      <c r="N32" s="52">
        <v>29.5</v>
      </c>
      <c r="O32" s="52">
        <v>28.6</v>
      </c>
      <c r="P32" s="52">
        <v>28.7</v>
      </c>
      <c r="Q32" s="52">
        <v>29.3</v>
      </c>
      <c r="R32" s="52">
        <v>27.6</v>
      </c>
      <c r="S32" s="52">
        <v>29.6</v>
      </c>
      <c r="T32" s="52">
        <v>30.4</v>
      </c>
      <c r="U32" s="53">
        <v>24.5</v>
      </c>
    </row>
    <row r="33" spans="1:21" s="83" customFormat="1" ht="15" customHeight="1">
      <c r="A33" s="50" t="s">
        <v>45</v>
      </c>
      <c r="B33" s="52">
        <v>39</v>
      </c>
      <c r="C33" s="52">
        <v>39</v>
      </c>
      <c r="D33" s="52">
        <v>43.2</v>
      </c>
      <c r="E33" s="52">
        <v>43.7</v>
      </c>
      <c r="F33" s="52">
        <v>42.2</v>
      </c>
      <c r="G33" s="52">
        <v>44.9</v>
      </c>
      <c r="H33" s="52">
        <v>38.5</v>
      </c>
      <c r="I33" s="52">
        <v>36.799999999999997</v>
      </c>
      <c r="J33" s="52">
        <v>41.7</v>
      </c>
      <c r="K33" s="52">
        <v>39.299999999999997</v>
      </c>
      <c r="L33" s="52">
        <v>34.4</v>
      </c>
      <c r="M33" s="52">
        <v>44.2</v>
      </c>
      <c r="N33" s="52">
        <v>45.3</v>
      </c>
      <c r="O33" s="52">
        <v>35.200000000000003</v>
      </c>
      <c r="P33" s="52">
        <v>42.2</v>
      </c>
      <c r="Q33" s="52">
        <v>32.4</v>
      </c>
      <c r="R33" s="52">
        <v>34.5</v>
      </c>
      <c r="S33" s="52">
        <v>44.3</v>
      </c>
      <c r="T33" s="52">
        <v>40.1</v>
      </c>
      <c r="U33" s="53">
        <v>34.4</v>
      </c>
    </row>
    <row r="34" spans="1:21" s="83" customFormat="1" ht="15" customHeight="1">
      <c r="A34" s="54" t="s">
        <v>46</v>
      </c>
      <c r="B34" s="43"/>
      <c r="C34" s="43"/>
      <c r="D34" s="43"/>
      <c r="E34" s="43"/>
      <c r="F34" s="43"/>
      <c r="G34" s="43"/>
      <c r="H34" s="43"/>
      <c r="I34" s="43"/>
      <c r="J34" s="43"/>
      <c r="K34" s="43"/>
      <c r="L34" s="43"/>
      <c r="M34" s="43"/>
      <c r="N34" s="43"/>
      <c r="O34" s="44"/>
      <c r="P34" s="43"/>
      <c r="Q34" s="43"/>
      <c r="R34" s="43"/>
      <c r="S34" s="43"/>
      <c r="T34" s="43"/>
      <c r="U34" s="45">
        <v>1</v>
      </c>
    </row>
    <row r="35" spans="1:21" s="83" customFormat="1" ht="15" customHeight="1">
      <c r="A35" s="54" t="s">
        <v>66</v>
      </c>
      <c r="B35" s="43"/>
      <c r="C35" s="43"/>
      <c r="D35" s="43"/>
      <c r="E35" s="43"/>
      <c r="F35" s="43"/>
      <c r="G35" s="43"/>
      <c r="H35" s="43"/>
      <c r="I35" s="43"/>
      <c r="J35" s="43"/>
      <c r="K35" s="43"/>
      <c r="L35" s="43"/>
      <c r="M35" s="43"/>
      <c r="N35" s="43"/>
      <c r="O35" s="44"/>
      <c r="P35" s="43"/>
      <c r="Q35" s="43">
        <v>1</v>
      </c>
      <c r="R35" s="43">
        <v>1</v>
      </c>
      <c r="S35" s="43"/>
      <c r="T35" s="43"/>
      <c r="U35" s="45">
        <v>1</v>
      </c>
    </row>
    <row r="36" spans="1:21" s="83" customFormat="1" ht="15" customHeight="1">
      <c r="A36" s="54" t="s">
        <v>67</v>
      </c>
      <c r="B36" s="43"/>
      <c r="C36" s="43"/>
      <c r="D36" s="43"/>
      <c r="E36" s="43"/>
      <c r="F36" s="43"/>
      <c r="G36" s="43"/>
      <c r="H36" s="43"/>
      <c r="I36" s="43"/>
      <c r="J36" s="43"/>
      <c r="K36" s="43"/>
      <c r="L36" s="44"/>
      <c r="M36" s="43"/>
      <c r="N36" s="43"/>
      <c r="O36" s="44"/>
      <c r="P36" s="43"/>
      <c r="Q36" s="43"/>
      <c r="R36" s="43"/>
      <c r="S36" s="43"/>
      <c r="T36" s="43"/>
      <c r="U36" s="45"/>
    </row>
    <row r="37" spans="1:21" s="83" customFormat="1" ht="15" customHeight="1">
      <c r="A37" s="54" t="s">
        <v>68</v>
      </c>
      <c r="B37" s="43"/>
      <c r="C37" s="43"/>
      <c r="D37" s="43">
        <v>1</v>
      </c>
      <c r="E37" s="43">
        <v>1</v>
      </c>
      <c r="F37" s="43"/>
      <c r="G37" s="43"/>
      <c r="H37" s="43">
        <v>1</v>
      </c>
      <c r="I37" s="43">
        <v>1</v>
      </c>
      <c r="J37" s="43"/>
      <c r="K37" s="43"/>
      <c r="L37" s="43">
        <v>1</v>
      </c>
      <c r="M37" s="43"/>
      <c r="N37" s="43"/>
      <c r="O37" s="44"/>
      <c r="P37" s="43"/>
      <c r="Q37" s="43"/>
      <c r="R37" s="43"/>
      <c r="S37" s="43"/>
      <c r="T37" s="43"/>
      <c r="U37" s="45"/>
    </row>
    <row r="38" spans="1:21" s="83" customFormat="1" ht="15" customHeight="1">
      <c r="A38" s="84" t="s">
        <v>69</v>
      </c>
      <c r="B38" s="72"/>
      <c r="C38" s="72"/>
      <c r="D38" s="72"/>
      <c r="E38" s="72"/>
      <c r="F38" s="72"/>
      <c r="G38" s="72"/>
      <c r="H38" s="72"/>
      <c r="I38" s="72"/>
      <c r="J38" s="72"/>
      <c r="K38" s="72"/>
      <c r="L38" s="72"/>
      <c r="M38" s="72"/>
      <c r="N38" s="72"/>
      <c r="O38" s="72"/>
      <c r="P38" s="72"/>
      <c r="Q38" s="72"/>
      <c r="R38" s="72"/>
      <c r="S38" s="72"/>
      <c r="T38" s="72"/>
      <c r="U38" s="85"/>
    </row>
    <row r="39" spans="1:21" s="83" customFormat="1" ht="15" customHeight="1">
      <c r="A39" s="86" t="s">
        <v>70</v>
      </c>
      <c r="B39" s="44"/>
      <c r="C39" s="44"/>
      <c r="D39" s="44"/>
      <c r="E39" s="44"/>
      <c r="F39" s="44"/>
      <c r="G39" s="44"/>
      <c r="H39" s="44"/>
      <c r="I39" s="44"/>
      <c r="J39" s="44"/>
      <c r="K39" s="44"/>
      <c r="L39" s="44"/>
      <c r="M39" s="44"/>
      <c r="N39" s="44"/>
      <c r="O39" s="44"/>
      <c r="P39" s="44"/>
      <c r="Q39" s="44"/>
      <c r="R39" s="44"/>
      <c r="S39" s="44"/>
      <c r="T39" s="44"/>
      <c r="U39" s="87"/>
    </row>
    <row r="40" spans="1:21" s="83" customFormat="1" ht="15" customHeight="1">
      <c r="A40" s="86" t="s">
        <v>71</v>
      </c>
      <c r="B40" s="44"/>
      <c r="C40" s="44"/>
      <c r="D40" s="44"/>
      <c r="E40" s="44"/>
      <c r="F40" s="44"/>
      <c r="G40" s="44"/>
      <c r="H40" s="44"/>
      <c r="I40" s="44"/>
      <c r="J40" s="44"/>
      <c r="K40" s="44"/>
      <c r="L40" s="44"/>
      <c r="M40" s="44"/>
      <c r="N40" s="44"/>
      <c r="O40" s="44"/>
      <c r="P40" s="44"/>
      <c r="Q40" s="44"/>
      <c r="R40" s="44"/>
      <c r="S40" s="44"/>
      <c r="T40" s="44"/>
      <c r="U40" s="87"/>
    </row>
    <row r="41" spans="1:21" s="83" customFormat="1" ht="15" customHeight="1">
      <c r="A41" s="84" t="s">
        <v>72</v>
      </c>
      <c r="B41" s="72"/>
      <c r="C41" s="72"/>
      <c r="D41" s="72"/>
      <c r="E41" s="72"/>
      <c r="F41" s="72"/>
      <c r="G41" s="72"/>
      <c r="H41" s="72"/>
      <c r="I41" s="72"/>
      <c r="J41" s="72"/>
      <c r="K41" s="72"/>
      <c r="L41" s="72"/>
      <c r="M41" s="72"/>
      <c r="N41" s="72"/>
      <c r="O41" s="72"/>
      <c r="P41" s="72"/>
      <c r="Q41" s="72"/>
      <c r="R41" s="72"/>
      <c r="S41" s="72"/>
      <c r="T41" s="72"/>
      <c r="U41" s="85"/>
    </row>
    <row r="42" spans="1:21" ht="15" customHeight="1" thickBot="1">
      <c r="A42" s="88" t="s">
        <v>73</v>
      </c>
      <c r="B42" s="76"/>
      <c r="C42" s="76"/>
      <c r="D42" s="76"/>
      <c r="E42" s="76"/>
      <c r="F42" s="76"/>
      <c r="G42" s="76"/>
      <c r="H42" s="76"/>
      <c r="I42" s="76"/>
      <c r="J42" s="76"/>
      <c r="K42" s="76"/>
      <c r="L42" s="76"/>
      <c r="M42" s="76"/>
      <c r="N42" s="76"/>
      <c r="O42" s="76"/>
      <c r="P42" s="76"/>
      <c r="Q42" s="76"/>
      <c r="R42" s="76"/>
      <c r="S42" s="76"/>
      <c r="T42" s="76"/>
      <c r="U42" s="89"/>
    </row>
    <row r="43" spans="1:21" ht="15" customHeight="1" thickTop="1" thickBot="1">
      <c r="A43" s="90" t="s">
        <v>74</v>
      </c>
      <c r="B43" s="78"/>
      <c r="C43" s="78"/>
      <c r="D43" s="78"/>
      <c r="E43" s="78"/>
      <c r="F43" s="78"/>
      <c r="G43" s="78"/>
      <c r="H43" s="78"/>
      <c r="I43" s="78"/>
      <c r="J43" s="78"/>
      <c r="K43" s="78"/>
      <c r="L43" s="78"/>
      <c r="M43" s="78"/>
      <c r="N43" s="78"/>
      <c r="O43" s="78"/>
      <c r="P43" s="78"/>
      <c r="Q43" s="78"/>
      <c r="R43" s="78"/>
      <c r="S43" s="78"/>
      <c r="T43" s="78"/>
      <c r="U43" s="91"/>
    </row>
    <row r="44" spans="1:21" ht="15" customHeight="1">
      <c r="A44" s="247" t="s">
        <v>94</v>
      </c>
      <c r="B44" s="247"/>
      <c r="C44" s="247"/>
      <c r="D44" s="247"/>
      <c r="E44" s="247"/>
      <c r="F44" s="247"/>
      <c r="G44" s="247"/>
      <c r="H44" s="247"/>
      <c r="I44" s="247"/>
      <c r="J44" s="247"/>
      <c r="K44" s="247"/>
      <c r="L44" s="247"/>
      <c r="M44" s="247"/>
      <c r="N44" s="247"/>
      <c r="O44" s="247"/>
      <c r="P44" s="247"/>
      <c r="Q44" s="247"/>
      <c r="R44" s="247"/>
      <c r="S44" s="247"/>
      <c r="T44" s="247"/>
      <c r="U44" s="247"/>
    </row>
    <row r="45" spans="1:21" ht="15" customHeight="1">
      <c r="A45" s="247"/>
      <c r="B45" s="247"/>
      <c r="C45" s="247"/>
      <c r="D45" s="247"/>
      <c r="E45" s="247"/>
      <c r="F45" s="247"/>
      <c r="G45" s="247"/>
      <c r="H45" s="247"/>
      <c r="I45" s="247"/>
      <c r="J45" s="247"/>
      <c r="K45" s="247"/>
      <c r="L45" s="247"/>
      <c r="M45" s="247"/>
      <c r="N45" s="247"/>
      <c r="O45" s="247"/>
      <c r="P45" s="247"/>
      <c r="Q45" s="247"/>
      <c r="R45" s="247"/>
      <c r="S45" s="247"/>
      <c r="T45" s="247"/>
      <c r="U45" s="247"/>
    </row>
  </sheetData>
  <mergeCells count="3">
    <mergeCell ref="A21:U22"/>
    <mergeCell ref="A44:U44"/>
    <mergeCell ref="A45:U45"/>
  </mergeCells>
  <phoneticPr fontId="5"/>
  <pageMargins left="0.7" right="0.7" top="0.75" bottom="0.75" header="0.3" footer="0.3"/>
  <pageSetup paperSize="9" scale="54"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I170"/>
  <sheetViews>
    <sheetView view="pageBreakPreview" zoomScale="70" zoomScaleNormal="100" zoomScaleSheetLayoutView="70" workbookViewId="0"/>
  </sheetViews>
  <sheetFormatPr defaultRowHeight="14.25"/>
  <cols>
    <col min="1" max="1" width="10.625" style="156" customWidth="1"/>
    <col min="2" max="2" width="40.625" style="156" customWidth="1"/>
    <col min="3" max="4" width="10.625" style="156" customWidth="1"/>
    <col min="5" max="5" width="30.625" style="156" customWidth="1"/>
    <col min="6" max="6" width="9" style="156"/>
    <col min="7" max="8" width="9" style="192"/>
    <col min="9" max="16384" width="9" style="156"/>
  </cols>
  <sheetData>
    <row r="1" spans="1:9" ht="15.75" customHeight="1">
      <c r="A1" s="33" t="s">
        <v>342</v>
      </c>
      <c r="B1" s="155"/>
      <c r="C1" s="155"/>
      <c r="D1" s="155"/>
      <c r="E1" s="155"/>
    </row>
    <row r="2" spans="1:9" ht="15.75" customHeight="1">
      <c r="A2" s="1" t="s">
        <v>217</v>
      </c>
      <c r="B2" s="155"/>
      <c r="C2" s="155"/>
      <c r="D2" s="155"/>
      <c r="E2" s="155"/>
    </row>
    <row r="3" spans="1:9" ht="15.75" customHeight="1">
      <c r="A3" s="37" t="s">
        <v>210</v>
      </c>
      <c r="B3" s="155"/>
      <c r="C3" s="155"/>
      <c r="D3" s="155"/>
      <c r="E3" s="155"/>
    </row>
    <row r="4" spans="1:9" ht="15.75" customHeight="1">
      <c r="A4" s="250" t="s">
        <v>275</v>
      </c>
      <c r="B4" s="250"/>
      <c r="C4" s="250"/>
      <c r="D4" s="250"/>
      <c r="E4" s="250"/>
    </row>
    <row r="5" spans="1:9" ht="15.75" customHeight="1">
      <c r="A5" s="250"/>
      <c r="B5" s="250"/>
      <c r="C5" s="250"/>
      <c r="D5" s="250"/>
      <c r="E5" s="250"/>
    </row>
    <row r="6" spans="1:9" ht="15.75" customHeight="1">
      <c r="A6" s="159" t="s">
        <v>237</v>
      </c>
      <c r="B6" s="155"/>
      <c r="C6" s="155"/>
      <c r="D6" s="155"/>
      <c r="E6" s="155"/>
    </row>
    <row r="7" spans="1:9" ht="15.75" customHeight="1">
      <c r="A7" s="160" t="s">
        <v>238</v>
      </c>
      <c r="B7" s="161"/>
      <c r="C7" s="161"/>
      <c r="D7" s="161"/>
      <c r="E7" s="161"/>
    </row>
    <row r="8" spans="1:9" ht="30">
      <c r="A8" s="162" t="s">
        <v>239</v>
      </c>
      <c r="B8" s="162" t="s">
        <v>240</v>
      </c>
      <c r="C8" s="163" t="s">
        <v>241</v>
      </c>
      <c r="D8" s="163" t="s">
        <v>242</v>
      </c>
      <c r="E8" s="162" t="s">
        <v>243</v>
      </c>
    </row>
    <row r="9" spans="1:9" ht="15.75" customHeight="1">
      <c r="A9" s="173">
        <v>1</v>
      </c>
      <c r="B9" s="174" t="s">
        <v>253</v>
      </c>
      <c r="C9" s="173">
        <v>1.8</v>
      </c>
      <c r="D9" s="173">
        <v>1.8</v>
      </c>
      <c r="E9" s="175"/>
      <c r="G9" s="193">
        <v>1.8</v>
      </c>
      <c r="H9" s="192" t="str">
        <f>"="&amp;G9</f>
        <v>=1.8</v>
      </c>
      <c r="I9" s="156">
        <f>1.8</f>
        <v>1.8</v>
      </c>
    </row>
    <row r="10" spans="1:9" ht="15.75" customHeight="1">
      <c r="A10" s="173">
        <v>2</v>
      </c>
      <c r="B10" s="174" t="s">
        <v>254</v>
      </c>
      <c r="C10" s="173">
        <v>3.1</v>
      </c>
      <c r="D10" s="173">
        <v>3.5</v>
      </c>
      <c r="E10" s="175"/>
      <c r="G10" s="193">
        <v>3.1</v>
      </c>
      <c r="H10" s="192" t="str">
        <f t="shared" ref="H10:H39" si="0">"="&amp;G10</f>
        <v>=3.1</v>
      </c>
      <c r="I10" s="191">
        <f>3.1</f>
        <v>3.1</v>
      </c>
    </row>
    <row r="11" spans="1:9" ht="15.75" customHeight="1">
      <c r="A11" s="173">
        <v>3</v>
      </c>
      <c r="B11" s="174" t="s">
        <v>254</v>
      </c>
      <c r="C11" s="173">
        <v>2.5</v>
      </c>
      <c r="D11" s="173">
        <v>1.3</v>
      </c>
      <c r="E11" s="175"/>
      <c r="G11" s="193">
        <v>2.5</v>
      </c>
      <c r="H11" s="192" t="str">
        <f t="shared" si="0"/>
        <v>=2.5</v>
      </c>
      <c r="I11" s="191">
        <f>2.5</f>
        <v>2.5</v>
      </c>
    </row>
    <row r="12" spans="1:9" ht="15.75" customHeight="1">
      <c r="A12" s="173">
        <v>4</v>
      </c>
      <c r="B12" s="174" t="s">
        <v>254</v>
      </c>
      <c r="C12" s="173">
        <v>5.2</v>
      </c>
      <c r="D12" s="176">
        <v>6</v>
      </c>
      <c r="E12" s="175"/>
      <c r="G12" s="193">
        <v>5.2</v>
      </c>
      <c r="H12" s="192" t="str">
        <f t="shared" si="0"/>
        <v>=5.2</v>
      </c>
      <c r="I12" s="191">
        <f>5.2</f>
        <v>5.2</v>
      </c>
    </row>
    <row r="13" spans="1:9" ht="15.75" customHeight="1">
      <c r="A13" s="173">
        <v>5</v>
      </c>
      <c r="B13" s="174" t="s">
        <v>255</v>
      </c>
      <c r="C13" s="173">
        <v>1.8</v>
      </c>
      <c r="D13" s="176">
        <v>2</v>
      </c>
      <c r="E13" s="175"/>
      <c r="G13" s="193">
        <v>1.8</v>
      </c>
      <c r="H13" s="192" t="str">
        <f t="shared" si="0"/>
        <v>=1.8</v>
      </c>
      <c r="I13" s="191">
        <f>1.8</f>
        <v>1.8</v>
      </c>
    </row>
    <row r="14" spans="1:9" ht="15.75" customHeight="1">
      <c r="A14" s="173">
        <v>6</v>
      </c>
      <c r="B14" s="174" t="s">
        <v>255</v>
      </c>
      <c r="C14" s="173">
        <v>1.9</v>
      </c>
      <c r="D14" s="176">
        <v>2</v>
      </c>
      <c r="E14" s="175"/>
      <c r="G14" s="193">
        <v>1.9</v>
      </c>
      <c r="H14" s="192" t="str">
        <f t="shared" si="0"/>
        <v>=1.9</v>
      </c>
      <c r="I14" s="191">
        <f>1.9</f>
        <v>1.9</v>
      </c>
    </row>
    <row r="15" spans="1:9" ht="15.75" customHeight="1">
      <c r="A15" s="173">
        <v>7</v>
      </c>
      <c r="B15" s="174" t="s">
        <v>255</v>
      </c>
      <c r="C15" s="173">
        <v>2</v>
      </c>
      <c r="D15" s="173">
        <v>1.5</v>
      </c>
      <c r="E15" s="175"/>
      <c r="G15" s="193">
        <v>2</v>
      </c>
      <c r="H15" s="192" t="str">
        <f t="shared" si="0"/>
        <v>=2</v>
      </c>
      <c r="I15" s="191">
        <f>2</f>
        <v>2</v>
      </c>
    </row>
    <row r="16" spans="1:9" ht="15.75" customHeight="1">
      <c r="A16" s="173">
        <v>8</v>
      </c>
      <c r="B16" s="174" t="s">
        <v>255</v>
      </c>
      <c r="C16" s="173">
        <v>3.1</v>
      </c>
      <c r="D16" s="173">
        <v>2.5</v>
      </c>
      <c r="E16" s="175"/>
      <c r="G16" s="193">
        <v>3.1</v>
      </c>
      <c r="H16" s="192" t="str">
        <f t="shared" si="0"/>
        <v>=3.1</v>
      </c>
      <c r="I16" s="191">
        <f>3.1</f>
        <v>3.1</v>
      </c>
    </row>
    <row r="17" spans="1:9" ht="15.75" customHeight="1">
      <c r="A17" s="173">
        <v>9</v>
      </c>
      <c r="B17" s="174" t="s">
        <v>255</v>
      </c>
      <c r="C17" s="173">
        <v>7.8</v>
      </c>
      <c r="D17" s="173">
        <v>2.1</v>
      </c>
      <c r="E17" s="175"/>
      <c r="G17" s="193">
        <f>5.8+2</f>
        <v>7.8</v>
      </c>
      <c r="H17" s="192" t="str">
        <f t="shared" si="0"/>
        <v>=7.8</v>
      </c>
      <c r="I17" s="191">
        <f>7.8</f>
        <v>7.8</v>
      </c>
    </row>
    <row r="18" spans="1:9" ht="15.75" customHeight="1">
      <c r="A18" s="173">
        <v>10</v>
      </c>
      <c r="B18" s="174" t="s">
        <v>227</v>
      </c>
      <c r="C18" s="173">
        <v>1.2</v>
      </c>
      <c r="D18" s="173">
        <v>2.1</v>
      </c>
      <c r="E18" s="175"/>
      <c r="G18" s="193">
        <v>1.2</v>
      </c>
      <c r="H18" s="192" t="str">
        <f t="shared" si="0"/>
        <v>=1.2</v>
      </c>
      <c r="I18" s="191">
        <f>1.2</f>
        <v>1.2</v>
      </c>
    </row>
    <row r="19" spans="1:9" ht="15.75" customHeight="1">
      <c r="A19" s="173">
        <v>11</v>
      </c>
      <c r="B19" s="174" t="s">
        <v>227</v>
      </c>
      <c r="C19" s="173">
        <v>1.3</v>
      </c>
      <c r="D19" s="173">
        <v>2.2999999999999998</v>
      </c>
      <c r="E19" s="175"/>
      <c r="G19" s="193">
        <v>1.3</v>
      </c>
      <c r="H19" s="192" t="str">
        <f t="shared" si="0"/>
        <v>=1.3</v>
      </c>
      <c r="I19" s="191">
        <f>1.3</f>
        <v>1.3</v>
      </c>
    </row>
    <row r="20" spans="1:9" ht="15.75" customHeight="1">
      <c r="A20" s="173">
        <v>12</v>
      </c>
      <c r="B20" s="174" t="s">
        <v>227</v>
      </c>
      <c r="C20" s="173">
        <v>1.4</v>
      </c>
      <c r="D20" s="173">
        <v>2</v>
      </c>
      <c r="E20" s="175"/>
      <c r="G20" s="193">
        <v>1.4</v>
      </c>
      <c r="H20" s="192" t="str">
        <f t="shared" si="0"/>
        <v>=1.4</v>
      </c>
      <c r="I20" s="191">
        <f>1.4</f>
        <v>1.4</v>
      </c>
    </row>
    <row r="21" spans="1:9" ht="15.75" customHeight="1">
      <c r="A21" s="173">
        <v>13</v>
      </c>
      <c r="B21" s="174" t="s">
        <v>227</v>
      </c>
      <c r="C21" s="173">
        <v>1.5</v>
      </c>
      <c r="D21" s="173">
        <v>1.6</v>
      </c>
      <c r="E21" s="175"/>
      <c r="G21" s="193">
        <v>1.5</v>
      </c>
      <c r="H21" s="192" t="str">
        <f t="shared" si="0"/>
        <v>=1.5</v>
      </c>
      <c r="I21" s="191">
        <f>1.5</f>
        <v>1.5</v>
      </c>
    </row>
    <row r="22" spans="1:9" ht="15.75" customHeight="1">
      <c r="A22" s="173">
        <v>14</v>
      </c>
      <c r="B22" s="174" t="s">
        <v>227</v>
      </c>
      <c r="C22" s="173">
        <v>2</v>
      </c>
      <c r="D22" s="173">
        <v>2</v>
      </c>
      <c r="E22" s="175"/>
      <c r="G22" s="193">
        <v>2</v>
      </c>
      <c r="H22" s="192" t="str">
        <f t="shared" si="0"/>
        <v>=2</v>
      </c>
      <c r="I22" s="191">
        <f>2</f>
        <v>2</v>
      </c>
    </row>
    <row r="23" spans="1:9" ht="15.75" customHeight="1">
      <c r="A23" s="173">
        <v>15</v>
      </c>
      <c r="B23" s="174" t="s">
        <v>227</v>
      </c>
      <c r="C23" s="173">
        <v>2.2999999999999998</v>
      </c>
      <c r="D23" s="173">
        <v>1.6</v>
      </c>
      <c r="E23" s="175"/>
      <c r="G23" s="193">
        <v>2.2999999999999998</v>
      </c>
      <c r="H23" s="192" t="str">
        <f t="shared" si="0"/>
        <v>=2.3</v>
      </c>
      <c r="I23" s="191">
        <f>2.3</f>
        <v>2.2999999999999998</v>
      </c>
    </row>
    <row r="24" spans="1:9" ht="15.75" customHeight="1">
      <c r="A24" s="173">
        <v>16</v>
      </c>
      <c r="B24" s="174" t="s">
        <v>227</v>
      </c>
      <c r="C24" s="173">
        <v>3.5</v>
      </c>
      <c r="D24" s="173">
        <v>3</v>
      </c>
      <c r="E24" s="175"/>
      <c r="G24" s="193">
        <v>3.5</v>
      </c>
      <c r="H24" s="192" t="str">
        <f t="shared" si="0"/>
        <v>=3.5</v>
      </c>
      <c r="I24" s="191">
        <f>3.5</f>
        <v>3.5</v>
      </c>
    </row>
    <row r="25" spans="1:9" ht="15.75" customHeight="1">
      <c r="A25" s="173">
        <v>17</v>
      </c>
      <c r="B25" s="174" t="s">
        <v>227</v>
      </c>
      <c r="C25" s="173">
        <v>4.5</v>
      </c>
      <c r="D25" s="173">
        <v>3</v>
      </c>
      <c r="E25" s="175"/>
      <c r="G25" s="193">
        <v>4.5</v>
      </c>
      <c r="H25" s="192" t="str">
        <f t="shared" si="0"/>
        <v>=4.5</v>
      </c>
      <c r="I25" s="191">
        <f>4.5</f>
        <v>4.5</v>
      </c>
    </row>
    <row r="26" spans="1:9" ht="15.75" customHeight="1">
      <c r="A26" s="173">
        <v>18</v>
      </c>
      <c r="B26" s="174" t="s">
        <v>227</v>
      </c>
      <c r="C26" s="173">
        <v>0.6</v>
      </c>
      <c r="D26" s="173">
        <v>2.5</v>
      </c>
      <c r="E26" s="175"/>
      <c r="G26" s="193">
        <f>0.3+0.3</f>
        <v>0.6</v>
      </c>
      <c r="H26" s="192" t="str">
        <f t="shared" si="0"/>
        <v>=0.6</v>
      </c>
      <c r="I26" s="191">
        <f>0.6</f>
        <v>0.6</v>
      </c>
    </row>
    <row r="27" spans="1:9" ht="15.75" customHeight="1">
      <c r="A27" s="173">
        <v>19</v>
      </c>
      <c r="B27" s="174" t="s">
        <v>227</v>
      </c>
      <c r="C27" s="173">
        <v>0.7</v>
      </c>
      <c r="D27" s="173">
        <v>1.5</v>
      </c>
      <c r="E27" s="175"/>
      <c r="G27" s="193">
        <f>0.5+0.2</f>
        <v>0.7</v>
      </c>
      <c r="H27" s="192" t="str">
        <f t="shared" si="0"/>
        <v>=0.7</v>
      </c>
      <c r="I27" s="191">
        <f>0.7</f>
        <v>0.7</v>
      </c>
    </row>
    <row r="28" spans="1:9" ht="15.75" customHeight="1">
      <c r="A28" s="173">
        <v>20</v>
      </c>
      <c r="B28" s="174" t="s">
        <v>227</v>
      </c>
      <c r="C28" s="173">
        <v>2.2200000000000002</v>
      </c>
      <c r="D28" s="173">
        <v>2.2000000000000002</v>
      </c>
      <c r="E28" s="175"/>
      <c r="G28" s="193">
        <f>2.22</f>
        <v>2.2200000000000002</v>
      </c>
      <c r="H28" s="192" t="str">
        <f t="shared" si="0"/>
        <v>=2.22</v>
      </c>
      <c r="I28" s="191">
        <f>2.22</f>
        <v>2.2200000000000002</v>
      </c>
    </row>
    <row r="29" spans="1:9" ht="15.75" customHeight="1">
      <c r="A29" s="173">
        <v>21</v>
      </c>
      <c r="B29" s="174" t="s">
        <v>227</v>
      </c>
      <c r="C29" s="173">
        <v>4.3</v>
      </c>
      <c r="D29" s="173">
        <v>1.2</v>
      </c>
      <c r="E29" s="175"/>
      <c r="G29" s="193">
        <f>2.5+1.8</f>
        <v>4.3</v>
      </c>
      <c r="H29" s="192" t="str">
        <f t="shared" si="0"/>
        <v>=4.3</v>
      </c>
      <c r="I29" s="191">
        <f>4.3</f>
        <v>4.3</v>
      </c>
    </row>
    <row r="30" spans="1:9" ht="15.75" customHeight="1">
      <c r="A30" s="173">
        <v>22</v>
      </c>
      <c r="B30" s="174" t="s">
        <v>227</v>
      </c>
      <c r="C30" s="173">
        <v>4.2</v>
      </c>
      <c r="D30" s="173">
        <v>2.2999999999999998</v>
      </c>
      <c r="E30" s="175"/>
      <c r="G30" s="193">
        <f>2.1+1.5+0.6</f>
        <v>4.2</v>
      </c>
      <c r="H30" s="192" t="str">
        <f t="shared" si="0"/>
        <v>=4.2</v>
      </c>
      <c r="I30" s="191">
        <f>4.2</f>
        <v>4.2</v>
      </c>
    </row>
    <row r="31" spans="1:9" ht="15.75" customHeight="1">
      <c r="A31" s="173">
        <v>23</v>
      </c>
      <c r="B31" s="174" t="s">
        <v>227</v>
      </c>
      <c r="C31" s="173">
        <v>7.7</v>
      </c>
      <c r="D31" s="173">
        <v>2</v>
      </c>
      <c r="E31" s="175"/>
      <c r="G31" s="193">
        <f>2.7+2.6+2.4</f>
        <v>7.7000000000000011</v>
      </c>
      <c r="H31" s="192" t="str">
        <f t="shared" si="0"/>
        <v>=7.7</v>
      </c>
      <c r="I31" s="191">
        <f>7.7</f>
        <v>7.7</v>
      </c>
    </row>
    <row r="32" spans="1:9" ht="15.75" customHeight="1">
      <c r="A32" s="173">
        <v>24</v>
      </c>
      <c r="B32" s="174" t="s">
        <v>227</v>
      </c>
      <c r="C32" s="173">
        <v>7.3</v>
      </c>
      <c r="D32" s="173">
        <v>3.5</v>
      </c>
      <c r="E32" s="175"/>
      <c r="G32" s="193">
        <f>3+2.2+2.1</f>
        <v>7.3000000000000007</v>
      </c>
      <c r="H32" s="192" t="str">
        <f t="shared" si="0"/>
        <v>=7.3</v>
      </c>
      <c r="I32" s="191">
        <f>7.3</f>
        <v>7.3</v>
      </c>
    </row>
    <row r="33" spans="1:9" ht="15.75" customHeight="1">
      <c r="A33" s="173">
        <v>25</v>
      </c>
      <c r="B33" s="174" t="s">
        <v>227</v>
      </c>
      <c r="C33" s="173">
        <v>7.3</v>
      </c>
      <c r="D33" s="173">
        <v>2</v>
      </c>
      <c r="E33" s="175"/>
      <c r="G33" s="193">
        <f>2.2+2+1.8+1.3</f>
        <v>7.3</v>
      </c>
      <c r="H33" s="192" t="str">
        <f t="shared" si="0"/>
        <v>=7.3</v>
      </c>
      <c r="I33" s="191">
        <f>7.3</f>
        <v>7.3</v>
      </c>
    </row>
    <row r="34" spans="1:9" ht="15.75" customHeight="1">
      <c r="A34" s="173">
        <v>26</v>
      </c>
      <c r="B34" s="174" t="s">
        <v>227</v>
      </c>
      <c r="C34" s="173">
        <v>12.4</v>
      </c>
      <c r="D34" s="173">
        <v>3</v>
      </c>
      <c r="E34" s="175"/>
      <c r="G34" s="193">
        <f>3.9+3.8+2.6+2.1</f>
        <v>12.399999999999999</v>
      </c>
      <c r="H34" s="192" t="str">
        <f t="shared" si="0"/>
        <v>=12.4</v>
      </c>
      <c r="I34" s="191">
        <f>12.4</f>
        <v>12.4</v>
      </c>
    </row>
    <row r="35" spans="1:9" ht="15.75" customHeight="1">
      <c r="A35" s="173">
        <v>27</v>
      </c>
      <c r="B35" s="174" t="s">
        <v>227</v>
      </c>
      <c r="C35" s="173">
        <v>11.5</v>
      </c>
      <c r="D35" s="173">
        <v>1.7</v>
      </c>
      <c r="E35" s="175"/>
      <c r="G35" s="193">
        <f>4.5+4+1.5+1.5</f>
        <v>11.5</v>
      </c>
      <c r="H35" s="192" t="str">
        <f t="shared" si="0"/>
        <v>=11.5</v>
      </c>
      <c r="I35" s="191">
        <f>11.5</f>
        <v>11.5</v>
      </c>
    </row>
    <row r="36" spans="1:9" ht="15.75" customHeight="1">
      <c r="A36" s="173">
        <v>28</v>
      </c>
      <c r="B36" s="174" t="s">
        <v>227</v>
      </c>
      <c r="C36" s="173">
        <v>15.8</v>
      </c>
      <c r="D36" s="173">
        <v>3</v>
      </c>
      <c r="E36" s="175"/>
      <c r="G36" s="193">
        <f>3.5+3+2.6+2.5+2.1+2.1</f>
        <v>15.799999999999999</v>
      </c>
      <c r="H36" s="192" t="str">
        <f t="shared" si="0"/>
        <v>=15.8</v>
      </c>
      <c r="I36" s="191">
        <f>15.8</f>
        <v>15.8</v>
      </c>
    </row>
    <row r="37" spans="1:9" ht="15.75" customHeight="1">
      <c r="A37" s="173">
        <v>29</v>
      </c>
      <c r="B37" s="174" t="s">
        <v>227</v>
      </c>
      <c r="C37" s="173">
        <v>19</v>
      </c>
      <c r="D37" s="173">
        <v>1.6</v>
      </c>
      <c r="E37" s="175"/>
      <c r="G37" s="193">
        <f>5.3+3.9+3.6+3.6+2+0.6</f>
        <v>19</v>
      </c>
      <c r="H37" s="192" t="str">
        <f t="shared" si="0"/>
        <v>=19</v>
      </c>
      <c r="I37" s="191">
        <f>19</f>
        <v>19</v>
      </c>
    </row>
    <row r="38" spans="1:9" ht="15.75" customHeight="1">
      <c r="A38" s="173">
        <v>30</v>
      </c>
      <c r="B38" s="174" t="s">
        <v>256</v>
      </c>
      <c r="C38" s="173">
        <v>2</v>
      </c>
      <c r="D38" s="173">
        <v>2.5</v>
      </c>
      <c r="E38" s="175"/>
      <c r="G38" s="193">
        <v>2</v>
      </c>
      <c r="H38" s="192" t="str">
        <f t="shared" si="0"/>
        <v>=2</v>
      </c>
      <c r="I38" s="191">
        <f>2</f>
        <v>2</v>
      </c>
    </row>
    <row r="39" spans="1:9" ht="15.75" customHeight="1">
      <c r="A39" s="173">
        <v>31</v>
      </c>
      <c r="B39" s="174" t="s">
        <v>257</v>
      </c>
      <c r="C39" s="173">
        <v>1.1000000000000001</v>
      </c>
      <c r="D39" s="173">
        <v>1.5</v>
      </c>
      <c r="E39" s="175"/>
      <c r="G39" s="193">
        <v>1.1000000000000001</v>
      </c>
      <c r="H39" s="192" t="str">
        <f t="shared" si="0"/>
        <v>=1.1</v>
      </c>
      <c r="I39" s="191">
        <f>1.1</f>
        <v>1.1000000000000001</v>
      </c>
    </row>
    <row r="40" spans="1:9" ht="15.75" customHeight="1">
      <c r="A40" s="173">
        <v>32</v>
      </c>
      <c r="B40" s="174" t="s">
        <v>257</v>
      </c>
      <c r="C40" s="173">
        <v>6.1</v>
      </c>
      <c r="D40" s="173"/>
      <c r="E40" s="175"/>
      <c r="G40" s="193" t="s">
        <v>459</v>
      </c>
      <c r="H40" s="192" t="str">
        <f>"="&amp;G40</f>
        <v>=4.5+1.6</v>
      </c>
      <c r="I40" s="191">
        <f>4.5+1.6</f>
        <v>6.1</v>
      </c>
    </row>
    <row r="41" spans="1:9" ht="15.75" customHeight="1">
      <c r="A41" s="173">
        <v>33</v>
      </c>
      <c r="B41" s="174" t="s">
        <v>258</v>
      </c>
      <c r="C41" s="173">
        <v>4.0999999999999996</v>
      </c>
      <c r="D41" s="173">
        <v>2.5</v>
      </c>
      <c r="E41" s="175"/>
      <c r="G41" s="193">
        <v>4.0999999999999996</v>
      </c>
      <c r="H41" s="192" t="str">
        <f t="shared" ref="H41:H79" si="1">"="&amp;G41</f>
        <v>=4.1</v>
      </c>
      <c r="I41" s="191">
        <f>4.1</f>
        <v>4.0999999999999996</v>
      </c>
    </row>
    <row r="42" spans="1:9" ht="15.75" customHeight="1">
      <c r="A42" s="173">
        <v>34</v>
      </c>
      <c r="B42" s="174" t="s">
        <v>259</v>
      </c>
      <c r="C42" s="173">
        <v>0.1</v>
      </c>
      <c r="D42" s="173">
        <v>1.5</v>
      </c>
      <c r="E42" s="175"/>
      <c r="G42" s="193">
        <v>0.1</v>
      </c>
      <c r="H42" s="192" t="str">
        <f t="shared" si="1"/>
        <v>=0.1</v>
      </c>
      <c r="I42" s="191">
        <f>0.1</f>
        <v>0.1</v>
      </c>
    </row>
    <row r="43" spans="1:9" ht="15.75" customHeight="1">
      <c r="A43" s="173">
        <v>35</v>
      </c>
      <c r="B43" s="174" t="s">
        <v>259</v>
      </c>
      <c r="C43" s="173">
        <v>1.9</v>
      </c>
      <c r="D43" s="173">
        <v>1.5</v>
      </c>
      <c r="E43" s="175"/>
      <c r="G43" s="193">
        <v>1.9</v>
      </c>
      <c r="H43" s="192" t="str">
        <f t="shared" si="1"/>
        <v>=1.9</v>
      </c>
      <c r="I43" s="191">
        <f>1.9</f>
        <v>1.9</v>
      </c>
    </row>
    <row r="44" spans="1:9" ht="15.75" customHeight="1">
      <c r="A44" s="173">
        <v>36</v>
      </c>
      <c r="B44" s="174" t="s">
        <v>259</v>
      </c>
      <c r="C44" s="173">
        <v>4.6000000000000005</v>
      </c>
      <c r="D44" s="173">
        <v>1.6</v>
      </c>
      <c r="E44" s="175"/>
      <c r="G44" s="193" t="s">
        <v>370</v>
      </c>
      <c r="H44" s="192" t="str">
        <f t="shared" si="1"/>
        <v>=1.6+1.3+1.2+0.5</v>
      </c>
      <c r="I44" s="191">
        <f>1.6+1.3+1.2+0.5</f>
        <v>4.6000000000000005</v>
      </c>
    </row>
    <row r="45" spans="1:9" ht="15.75" customHeight="1">
      <c r="A45" s="173">
        <v>37</v>
      </c>
      <c r="B45" s="174" t="s">
        <v>259</v>
      </c>
      <c r="C45" s="173">
        <v>12.7</v>
      </c>
      <c r="D45" s="173">
        <v>3</v>
      </c>
      <c r="E45" s="175"/>
      <c r="G45" s="193" t="s">
        <v>371</v>
      </c>
      <c r="H45" s="192" t="str">
        <f t="shared" si="1"/>
        <v>=4+2+1.5+1.5+1.5+1.2+1</v>
      </c>
      <c r="I45" s="191">
        <f>4+2+1.5+1.5+1.5+1.2+1</f>
        <v>12.7</v>
      </c>
    </row>
    <row r="46" spans="1:9" ht="15.75" customHeight="1">
      <c r="A46" s="173">
        <v>38</v>
      </c>
      <c r="B46" s="174" t="s">
        <v>260</v>
      </c>
      <c r="C46" s="173">
        <v>2</v>
      </c>
      <c r="D46" s="173">
        <v>1.6</v>
      </c>
      <c r="E46" s="175"/>
      <c r="G46" s="193">
        <v>2</v>
      </c>
      <c r="H46" s="192" t="str">
        <f t="shared" si="1"/>
        <v>=2</v>
      </c>
      <c r="I46" s="191">
        <f>2</f>
        <v>2</v>
      </c>
    </row>
    <row r="47" spans="1:9" ht="15.75" customHeight="1">
      <c r="A47" s="173">
        <v>39</v>
      </c>
      <c r="B47" s="174" t="s">
        <v>260</v>
      </c>
      <c r="C47" s="173">
        <v>5.4</v>
      </c>
      <c r="D47" s="173">
        <v>5</v>
      </c>
      <c r="E47" s="175"/>
      <c r="G47" s="193">
        <v>5.4</v>
      </c>
      <c r="H47" s="192" t="str">
        <f t="shared" si="1"/>
        <v>=5.4</v>
      </c>
      <c r="I47" s="191">
        <f>5.4</f>
        <v>5.4</v>
      </c>
    </row>
    <row r="48" spans="1:9" ht="15.75" customHeight="1">
      <c r="A48" s="173">
        <v>40</v>
      </c>
      <c r="B48" s="174" t="s">
        <v>260</v>
      </c>
      <c r="C48" s="173">
        <v>6.4</v>
      </c>
      <c r="D48" s="173">
        <v>6</v>
      </c>
      <c r="E48" s="175"/>
      <c r="G48" s="193">
        <v>6.4</v>
      </c>
      <c r="H48" s="192" t="str">
        <f t="shared" si="1"/>
        <v>=6.4</v>
      </c>
      <c r="I48" s="191">
        <f>6.4</f>
        <v>6.4</v>
      </c>
    </row>
    <row r="49" spans="1:9" ht="15.75" customHeight="1">
      <c r="A49" s="173">
        <v>41</v>
      </c>
      <c r="B49" s="174" t="s">
        <v>261</v>
      </c>
      <c r="C49" s="173">
        <v>1.5</v>
      </c>
      <c r="D49" s="173">
        <v>1.3</v>
      </c>
      <c r="E49" s="175"/>
      <c r="G49" s="193">
        <v>1.5</v>
      </c>
      <c r="H49" s="192" t="str">
        <f t="shared" si="1"/>
        <v>=1.5</v>
      </c>
      <c r="I49" s="191">
        <f>1.5</f>
        <v>1.5</v>
      </c>
    </row>
    <row r="50" spans="1:9" ht="15.75" customHeight="1">
      <c r="A50" s="173">
        <v>42</v>
      </c>
      <c r="B50" s="174" t="s">
        <v>261</v>
      </c>
      <c r="C50" s="173">
        <v>3.3000000000000003</v>
      </c>
      <c r="D50" s="173">
        <v>1.4</v>
      </c>
      <c r="E50" s="175"/>
      <c r="G50" s="193" t="s">
        <v>372</v>
      </c>
      <c r="H50" s="192" t="str">
        <f t="shared" si="1"/>
        <v>=2+1.1+0.2</v>
      </c>
      <c r="I50" s="191">
        <f>2+1.1+0.2</f>
        <v>3.3000000000000003</v>
      </c>
    </row>
    <row r="51" spans="1:9" ht="15.75" customHeight="1">
      <c r="A51" s="173">
        <v>43</v>
      </c>
      <c r="B51" s="174" t="s">
        <v>261</v>
      </c>
      <c r="C51" s="173">
        <v>3.3</v>
      </c>
      <c r="D51" s="173">
        <v>1.7</v>
      </c>
      <c r="E51" s="175"/>
      <c r="G51" s="193">
        <v>3.3</v>
      </c>
      <c r="H51" s="192" t="str">
        <f t="shared" si="1"/>
        <v>=3.3</v>
      </c>
      <c r="I51" s="191">
        <f>3.3</f>
        <v>3.3</v>
      </c>
    </row>
    <row r="52" spans="1:9" ht="15.75" customHeight="1">
      <c r="A52" s="173">
        <v>44</v>
      </c>
      <c r="B52" s="174" t="s">
        <v>261</v>
      </c>
      <c r="C52" s="173">
        <v>3.5</v>
      </c>
      <c r="D52" s="173">
        <v>2.5</v>
      </c>
      <c r="E52" s="175"/>
      <c r="G52" s="193">
        <v>3.5</v>
      </c>
      <c r="H52" s="192" t="str">
        <f t="shared" si="1"/>
        <v>=3.5</v>
      </c>
      <c r="I52" s="191">
        <f>3.5</f>
        <v>3.5</v>
      </c>
    </row>
    <row r="53" spans="1:9" ht="15.75" customHeight="1">
      <c r="A53" s="173">
        <v>45</v>
      </c>
      <c r="B53" s="174" t="s">
        <v>261</v>
      </c>
      <c r="C53" s="173">
        <v>4.4000000000000004</v>
      </c>
      <c r="D53" s="173">
        <v>2</v>
      </c>
      <c r="E53" s="175"/>
      <c r="G53" s="193" t="s">
        <v>373</v>
      </c>
      <c r="H53" s="192" t="str">
        <f t="shared" si="1"/>
        <v>=2.3+2.1</v>
      </c>
      <c r="I53" s="191">
        <f>2.3+2.1</f>
        <v>4.4000000000000004</v>
      </c>
    </row>
    <row r="54" spans="1:9" ht="15.75" customHeight="1">
      <c r="A54" s="173">
        <v>46</v>
      </c>
      <c r="B54" s="174" t="s">
        <v>261</v>
      </c>
      <c r="C54" s="173">
        <v>3.3000000000000003</v>
      </c>
      <c r="D54" s="173">
        <v>1.4</v>
      </c>
      <c r="E54" s="175"/>
      <c r="G54" s="193" t="s">
        <v>372</v>
      </c>
      <c r="H54" s="192" t="str">
        <f t="shared" si="1"/>
        <v>=2+1.1+0.2</v>
      </c>
      <c r="I54" s="191">
        <f>2+1.1+0.2</f>
        <v>3.3000000000000003</v>
      </c>
    </row>
    <row r="55" spans="1:9" ht="15.75" customHeight="1">
      <c r="A55" s="173">
        <v>47</v>
      </c>
      <c r="B55" s="174" t="s">
        <v>262</v>
      </c>
      <c r="C55" s="173">
        <v>3.1</v>
      </c>
      <c r="D55" s="173">
        <v>3.5</v>
      </c>
      <c r="E55" s="175"/>
      <c r="G55" s="193">
        <v>3.1</v>
      </c>
      <c r="H55" s="192" t="str">
        <f t="shared" si="1"/>
        <v>=3.1</v>
      </c>
      <c r="I55" s="191">
        <f>3.1</f>
        <v>3.1</v>
      </c>
    </row>
    <row r="56" spans="1:9" ht="15.75" customHeight="1">
      <c r="A56" s="173">
        <v>48</v>
      </c>
      <c r="B56" s="174" t="s">
        <v>225</v>
      </c>
      <c r="C56" s="173">
        <v>2</v>
      </c>
      <c r="D56" s="173">
        <v>2.6</v>
      </c>
      <c r="E56" s="175"/>
      <c r="G56" s="193">
        <v>2</v>
      </c>
      <c r="H56" s="192" t="str">
        <f t="shared" si="1"/>
        <v>=2</v>
      </c>
      <c r="I56" s="191">
        <f>2</f>
        <v>2</v>
      </c>
    </row>
    <row r="57" spans="1:9" ht="15.75" customHeight="1">
      <c r="A57" s="173">
        <v>49</v>
      </c>
      <c r="B57" s="174" t="s">
        <v>221</v>
      </c>
      <c r="C57" s="173">
        <v>0.3</v>
      </c>
      <c r="D57" s="173">
        <v>1.3</v>
      </c>
      <c r="E57" s="175"/>
      <c r="G57" s="193">
        <v>0.3</v>
      </c>
      <c r="H57" s="192" t="str">
        <f t="shared" si="1"/>
        <v>=0.3</v>
      </c>
      <c r="I57" s="191">
        <f>0.3</f>
        <v>0.3</v>
      </c>
    </row>
    <row r="58" spans="1:9" ht="15.75" customHeight="1">
      <c r="A58" s="173">
        <v>50</v>
      </c>
      <c r="B58" s="174" t="s">
        <v>221</v>
      </c>
      <c r="C58" s="173">
        <v>2.5</v>
      </c>
      <c r="D58" s="173">
        <v>3</v>
      </c>
      <c r="E58" s="175"/>
      <c r="G58" s="193">
        <v>2.5</v>
      </c>
      <c r="H58" s="192" t="str">
        <f t="shared" si="1"/>
        <v>=2.5</v>
      </c>
      <c r="I58" s="191">
        <f>2.5</f>
        <v>2.5</v>
      </c>
    </row>
    <row r="59" spans="1:9" ht="15.75" customHeight="1">
      <c r="A59" s="173">
        <v>51</v>
      </c>
      <c r="B59" s="174" t="s">
        <v>221</v>
      </c>
      <c r="C59" s="173">
        <v>3.1</v>
      </c>
      <c r="D59" s="173">
        <v>1.2</v>
      </c>
      <c r="E59" s="175"/>
      <c r="G59" s="193">
        <v>3.1</v>
      </c>
      <c r="H59" s="192" t="str">
        <f t="shared" si="1"/>
        <v>=3.1</v>
      </c>
      <c r="I59" s="191">
        <f>3.1</f>
        <v>3.1</v>
      </c>
    </row>
    <row r="60" spans="1:9" ht="15.75" customHeight="1">
      <c r="A60" s="173">
        <v>52</v>
      </c>
      <c r="B60" s="174" t="s">
        <v>221</v>
      </c>
      <c r="C60" s="173">
        <v>3.4</v>
      </c>
      <c r="D60" s="173">
        <v>2.2000000000000002</v>
      </c>
      <c r="E60" s="175"/>
      <c r="G60" s="193">
        <v>3.4</v>
      </c>
      <c r="H60" s="192" t="str">
        <f t="shared" si="1"/>
        <v>=3.4</v>
      </c>
      <c r="I60" s="191">
        <f>3.4</f>
        <v>3.4</v>
      </c>
    </row>
    <row r="61" spans="1:9" ht="15.75" customHeight="1">
      <c r="A61" s="173">
        <v>53</v>
      </c>
      <c r="B61" s="174" t="s">
        <v>221</v>
      </c>
      <c r="C61" s="173">
        <v>2.5999999999999996</v>
      </c>
      <c r="D61" s="173">
        <v>1.7</v>
      </c>
      <c r="E61" s="175"/>
      <c r="G61" s="193" t="s">
        <v>374</v>
      </c>
      <c r="H61" s="192" t="str">
        <f t="shared" si="1"/>
        <v>=2.3+0.3</v>
      </c>
      <c r="I61" s="191">
        <f>2.3+0.3</f>
        <v>2.5999999999999996</v>
      </c>
    </row>
    <row r="62" spans="1:9" ht="15.75" customHeight="1">
      <c r="A62" s="173">
        <v>54</v>
      </c>
      <c r="B62" s="174" t="s">
        <v>221</v>
      </c>
      <c r="C62" s="173">
        <v>4.8999999999999995</v>
      </c>
      <c r="D62" s="173">
        <v>2.5</v>
      </c>
      <c r="E62" s="175"/>
      <c r="G62" s="193" t="s">
        <v>375</v>
      </c>
      <c r="H62" s="192" t="str">
        <f t="shared" si="1"/>
        <v>=2.5+2.1+0.3</v>
      </c>
      <c r="I62" s="191">
        <f>2.5+2.1+0.3</f>
        <v>4.8999999999999995</v>
      </c>
    </row>
    <row r="63" spans="1:9" ht="15.75" customHeight="1">
      <c r="A63" s="173">
        <v>55</v>
      </c>
      <c r="B63" s="174" t="s">
        <v>221</v>
      </c>
      <c r="C63" s="173">
        <v>7.2</v>
      </c>
      <c r="D63" s="173">
        <v>1.8</v>
      </c>
      <c r="E63" s="175"/>
      <c r="G63" s="193" t="s">
        <v>376</v>
      </c>
      <c r="H63" s="192" t="str">
        <f t="shared" si="1"/>
        <v>=2.8+2.2+2.2</v>
      </c>
      <c r="I63" s="191">
        <f>2.8+2.2+2.2</f>
        <v>7.2</v>
      </c>
    </row>
    <row r="64" spans="1:9" ht="15.75" customHeight="1">
      <c r="A64" s="173">
        <v>56</v>
      </c>
      <c r="B64" s="174" t="s">
        <v>221</v>
      </c>
      <c r="C64" s="173">
        <v>8.1</v>
      </c>
      <c r="D64" s="173">
        <v>2.5</v>
      </c>
      <c r="E64" s="175"/>
      <c r="G64" s="193" t="s">
        <v>377</v>
      </c>
      <c r="H64" s="192" t="str">
        <f t="shared" si="1"/>
        <v>=3+2.5+1.4+1.2</v>
      </c>
      <c r="I64" s="191">
        <f>3+2.5+1.4+1.2</f>
        <v>8.1</v>
      </c>
    </row>
    <row r="65" spans="1:9" ht="15.75" customHeight="1">
      <c r="A65" s="173">
        <v>57</v>
      </c>
      <c r="B65" s="174" t="s">
        <v>221</v>
      </c>
      <c r="C65" s="173">
        <v>10.100000000000001</v>
      </c>
      <c r="D65" s="173">
        <v>3.2</v>
      </c>
      <c r="E65" s="175"/>
      <c r="G65" s="193" t="s">
        <v>378</v>
      </c>
      <c r="H65" s="192" t="str">
        <f t="shared" si="1"/>
        <v>=3.2+3.1+2+1.8</v>
      </c>
      <c r="I65" s="191">
        <f>3.2+3.1+2+1.8</f>
        <v>10.100000000000001</v>
      </c>
    </row>
    <row r="66" spans="1:9" ht="15.75" customHeight="1">
      <c r="A66" s="173">
        <v>58</v>
      </c>
      <c r="B66" s="174" t="s">
        <v>221</v>
      </c>
      <c r="C66" s="173">
        <v>10.8</v>
      </c>
      <c r="D66" s="173">
        <v>2.6</v>
      </c>
      <c r="E66" s="175"/>
      <c r="G66" s="193" t="s">
        <v>379</v>
      </c>
      <c r="H66" s="192" t="str">
        <f t="shared" si="1"/>
        <v>=3.7+2.5+2.3+2.3</v>
      </c>
      <c r="I66" s="191">
        <f>3.7+2.5+2.3+2.3</f>
        <v>10.8</v>
      </c>
    </row>
    <row r="67" spans="1:9" ht="15.75" customHeight="1">
      <c r="A67" s="173">
        <v>59</v>
      </c>
      <c r="B67" s="174" t="s">
        <v>228</v>
      </c>
      <c r="C67" s="173">
        <v>3</v>
      </c>
      <c r="D67" s="173">
        <v>3</v>
      </c>
      <c r="E67" s="175"/>
      <c r="G67" s="193">
        <v>3</v>
      </c>
      <c r="H67" s="192" t="str">
        <f t="shared" si="1"/>
        <v>=3</v>
      </c>
      <c r="I67" s="191">
        <f>3</f>
        <v>3</v>
      </c>
    </row>
    <row r="68" spans="1:9" ht="15.75" customHeight="1">
      <c r="A68" s="173">
        <v>60</v>
      </c>
      <c r="B68" s="174" t="s">
        <v>263</v>
      </c>
      <c r="C68" s="173">
        <v>15.4</v>
      </c>
      <c r="D68" s="173">
        <v>11</v>
      </c>
      <c r="E68" s="175"/>
      <c r="G68" s="193">
        <v>15.4</v>
      </c>
      <c r="H68" s="192" t="str">
        <f t="shared" si="1"/>
        <v>=15.4</v>
      </c>
      <c r="I68" s="191">
        <f>15.4</f>
        <v>15.4</v>
      </c>
    </row>
    <row r="69" spans="1:9" ht="15.75" customHeight="1">
      <c r="A69" s="173">
        <v>61</v>
      </c>
      <c r="B69" s="174" t="s">
        <v>264</v>
      </c>
      <c r="C69" s="173">
        <v>0.1</v>
      </c>
      <c r="D69" s="173">
        <v>1.3</v>
      </c>
      <c r="E69" s="175"/>
      <c r="G69" s="193">
        <v>0.1</v>
      </c>
      <c r="H69" s="192" t="str">
        <f t="shared" si="1"/>
        <v>=0.1</v>
      </c>
      <c r="I69" s="191">
        <f>0.1</f>
        <v>0.1</v>
      </c>
    </row>
    <row r="70" spans="1:9" ht="15.75" customHeight="1">
      <c r="A70" s="173">
        <v>62</v>
      </c>
      <c r="B70" s="174" t="s">
        <v>265</v>
      </c>
      <c r="C70" s="173">
        <v>3.8</v>
      </c>
      <c r="D70" s="173">
        <v>1.4</v>
      </c>
      <c r="E70" s="175"/>
      <c r="G70" s="193">
        <v>3.8</v>
      </c>
      <c r="H70" s="192" t="str">
        <f t="shared" si="1"/>
        <v>=3.8</v>
      </c>
      <c r="I70" s="191">
        <f>3.8</f>
        <v>3.8</v>
      </c>
    </row>
    <row r="71" spans="1:9" ht="15.75" customHeight="1">
      <c r="A71" s="173">
        <v>63</v>
      </c>
      <c r="B71" s="174" t="s">
        <v>265</v>
      </c>
      <c r="C71" s="173">
        <v>11.7</v>
      </c>
      <c r="D71" s="173">
        <v>2.5</v>
      </c>
      <c r="E71" s="175"/>
      <c r="G71" s="193" t="s">
        <v>380</v>
      </c>
      <c r="H71" s="192" t="str">
        <f t="shared" si="1"/>
        <v>=6.2+5.5</v>
      </c>
      <c r="I71" s="191">
        <f>6.2+5.5</f>
        <v>11.7</v>
      </c>
    </row>
    <row r="72" spans="1:9" ht="15.75" customHeight="1">
      <c r="A72" s="173">
        <v>64</v>
      </c>
      <c r="B72" s="174" t="s">
        <v>266</v>
      </c>
      <c r="C72" s="173">
        <v>1.1000000000000001</v>
      </c>
      <c r="D72" s="173">
        <v>1.3</v>
      </c>
      <c r="E72" s="175"/>
      <c r="G72" s="193">
        <v>1.1000000000000001</v>
      </c>
      <c r="H72" s="192" t="str">
        <f t="shared" si="1"/>
        <v>=1.1</v>
      </c>
      <c r="I72" s="191">
        <f>1.1</f>
        <v>1.1000000000000001</v>
      </c>
    </row>
    <row r="73" spans="1:9" ht="15.75" customHeight="1">
      <c r="A73" s="173">
        <v>65</v>
      </c>
      <c r="B73" s="174" t="s">
        <v>266</v>
      </c>
      <c r="C73" s="173">
        <v>3.1</v>
      </c>
      <c r="D73" s="173">
        <v>1.8</v>
      </c>
      <c r="E73" s="175"/>
      <c r="G73" s="193">
        <v>3.1</v>
      </c>
      <c r="H73" s="192" t="str">
        <f t="shared" si="1"/>
        <v>=3.1</v>
      </c>
      <c r="I73" s="191">
        <f>3.1</f>
        <v>3.1</v>
      </c>
    </row>
    <row r="74" spans="1:9" ht="15.75" customHeight="1">
      <c r="A74" s="173">
        <v>66</v>
      </c>
      <c r="B74" s="174" t="s">
        <v>267</v>
      </c>
      <c r="C74" s="173">
        <v>1.2</v>
      </c>
      <c r="D74" s="173">
        <v>2.2000000000000002</v>
      </c>
      <c r="E74" s="175"/>
      <c r="G74" s="193">
        <v>1.2</v>
      </c>
      <c r="H74" s="192" t="str">
        <f t="shared" si="1"/>
        <v>=1.2</v>
      </c>
      <c r="I74" s="191">
        <f>1.2</f>
        <v>1.2</v>
      </c>
    </row>
    <row r="75" spans="1:9" ht="15.75" customHeight="1">
      <c r="A75" s="173">
        <v>67</v>
      </c>
      <c r="B75" s="174" t="s">
        <v>267</v>
      </c>
      <c r="C75" s="173">
        <v>2.2000000000000002</v>
      </c>
      <c r="D75" s="173">
        <v>2.5</v>
      </c>
      <c r="E75" s="175"/>
      <c r="G75" s="193">
        <v>2.2000000000000002</v>
      </c>
      <c r="H75" s="192" t="str">
        <f t="shared" si="1"/>
        <v>=2.2</v>
      </c>
      <c r="I75" s="191">
        <f>2.2</f>
        <v>2.2000000000000002</v>
      </c>
    </row>
    <row r="76" spans="1:9" ht="15.75" customHeight="1">
      <c r="A76" s="173">
        <v>68</v>
      </c>
      <c r="B76" s="174" t="s">
        <v>268</v>
      </c>
      <c r="C76" s="173">
        <v>0.4</v>
      </c>
      <c r="D76" s="173">
        <v>1.6</v>
      </c>
      <c r="E76" s="175"/>
      <c r="G76" s="193">
        <v>0.4</v>
      </c>
      <c r="H76" s="192" t="str">
        <f t="shared" si="1"/>
        <v>=0.4</v>
      </c>
      <c r="I76" s="191">
        <f>0.4</f>
        <v>0.4</v>
      </c>
    </row>
    <row r="77" spans="1:9" ht="15.75" customHeight="1">
      <c r="A77" s="173">
        <v>69</v>
      </c>
      <c r="B77" s="174" t="s">
        <v>269</v>
      </c>
      <c r="C77" s="173">
        <v>2.9</v>
      </c>
      <c r="D77" s="173">
        <v>1.6</v>
      </c>
      <c r="E77" s="175"/>
      <c r="G77" s="193" t="s">
        <v>381</v>
      </c>
      <c r="H77" s="192" t="str">
        <f t="shared" si="1"/>
        <v>=2.6+0.3</v>
      </c>
      <c r="I77" s="191">
        <f>2.6+0.3</f>
        <v>2.9</v>
      </c>
    </row>
    <row r="78" spans="1:9" ht="15.75" customHeight="1">
      <c r="A78" s="173">
        <v>70</v>
      </c>
      <c r="B78" s="174" t="s">
        <v>270</v>
      </c>
      <c r="C78" s="173">
        <v>1.8</v>
      </c>
      <c r="D78" s="173">
        <v>1.6</v>
      </c>
      <c r="E78" s="175"/>
      <c r="G78" s="193">
        <v>1.8</v>
      </c>
      <c r="H78" s="192" t="str">
        <f t="shared" si="1"/>
        <v>=1.8</v>
      </c>
      <c r="I78" s="191">
        <f>1.8</f>
        <v>1.8</v>
      </c>
    </row>
    <row r="79" spans="1:9" ht="15.75" customHeight="1">
      <c r="A79" s="173">
        <v>71</v>
      </c>
      <c r="B79" s="174" t="s">
        <v>270</v>
      </c>
      <c r="C79" s="173">
        <v>1.8</v>
      </c>
      <c r="D79" s="173">
        <v>1.6</v>
      </c>
      <c r="E79" s="175"/>
      <c r="G79" s="193">
        <v>1.8</v>
      </c>
      <c r="H79" s="192" t="str">
        <f t="shared" si="1"/>
        <v>=1.8</v>
      </c>
      <c r="I79" s="191">
        <f>1.8</f>
        <v>1.8</v>
      </c>
    </row>
    <row r="80" spans="1:9" ht="15.75" customHeight="1">
      <c r="A80" s="173">
        <v>72</v>
      </c>
      <c r="B80" s="174" t="s">
        <v>270</v>
      </c>
      <c r="C80" s="173">
        <v>2.6</v>
      </c>
      <c r="D80" s="173">
        <v>1.7</v>
      </c>
      <c r="E80" s="175"/>
    </row>
    <row r="81" spans="1:9" ht="15.75" customHeight="1">
      <c r="A81" s="164"/>
      <c r="B81" s="165"/>
      <c r="C81" s="166"/>
      <c r="D81" s="166"/>
      <c r="E81" s="167"/>
    </row>
    <row r="82" spans="1:9" ht="15.75" customHeight="1">
      <c r="A82" s="168"/>
      <c r="B82" s="169"/>
      <c r="C82" s="170"/>
      <c r="D82" s="170"/>
      <c r="E82" s="171"/>
    </row>
    <row r="83" spans="1:9" ht="15.75" customHeight="1">
      <c r="A83" s="248" t="s">
        <v>244</v>
      </c>
      <c r="B83" s="249"/>
      <c r="C83" s="249"/>
      <c r="D83" s="249"/>
      <c r="E83" s="249"/>
    </row>
    <row r="84" spans="1:9" ht="15.75" customHeight="1">
      <c r="A84" s="248" t="s">
        <v>245</v>
      </c>
      <c r="B84" s="249"/>
      <c r="C84" s="249"/>
      <c r="D84" s="249"/>
      <c r="E84" s="249"/>
    </row>
    <row r="85" spans="1:9" ht="30">
      <c r="A85" s="162" t="s">
        <v>239</v>
      </c>
      <c r="B85" s="162" t="s">
        <v>240</v>
      </c>
      <c r="C85" s="163" t="s">
        <v>241</v>
      </c>
      <c r="D85" s="163" t="s">
        <v>242</v>
      </c>
      <c r="E85" s="162" t="s">
        <v>243</v>
      </c>
    </row>
    <row r="86" spans="1:9" ht="15.75" customHeight="1">
      <c r="A86" s="173">
        <v>1</v>
      </c>
      <c r="B86" s="174" t="s">
        <v>271</v>
      </c>
      <c r="C86" s="173">
        <v>4.5</v>
      </c>
      <c r="D86" s="173">
        <v>4.8</v>
      </c>
      <c r="E86" s="175"/>
      <c r="G86" s="193">
        <v>4.5</v>
      </c>
      <c r="H86" s="192" t="str">
        <f t="shared" ref="H86:H123" si="2">"="&amp;G86</f>
        <v>=4.5</v>
      </c>
      <c r="I86" s="156">
        <f>4.5</f>
        <v>4.5</v>
      </c>
    </row>
    <row r="87" spans="1:9" ht="15.75" customHeight="1">
      <c r="A87" s="173">
        <v>2</v>
      </c>
      <c r="B87" s="174" t="s">
        <v>271</v>
      </c>
      <c r="C87" s="173">
        <v>5.2</v>
      </c>
      <c r="D87" s="173">
        <v>6</v>
      </c>
      <c r="E87" s="175"/>
      <c r="G87" s="193">
        <v>5.2</v>
      </c>
      <c r="H87" s="192" t="str">
        <f t="shared" si="2"/>
        <v>=5.2</v>
      </c>
      <c r="I87" s="156">
        <f>5.2</f>
        <v>5.2</v>
      </c>
    </row>
    <row r="88" spans="1:9" ht="15.75" customHeight="1">
      <c r="A88" s="173">
        <v>3</v>
      </c>
      <c r="B88" s="174" t="s">
        <v>227</v>
      </c>
      <c r="C88" s="173">
        <v>4.5</v>
      </c>
      <c r="D88" s="173">
        <v>4.8</v>
      </c>
      <c r="E88" s="175"/>
      <c r="G88" s="193">
        <v>4.5</v>
      </c>
      <c r="H88" s="192" t="str">
        <f t="shared" si="2"/>
        <v>=4.5</v>
      </c>
      <c r="I88" s="156">
        <f>4.5</f>
        <v>4.5</v>
      </c>
    </row>
    <row r="89" spans="1:9" ht="15.75" customHeight="1">
      <c r="A89" s="173">
        <v>4</v>
      </c>
      <c r="B89" s="174" t="s">
        <v>227</v>
      </c>
      <c r="C89" s="173">
        <v>5.3</v>
      </c>
      <c r="D89" s="176">
        <v>5.3</v>
      </c>
      <c r="E89" s="175"/>
      <c r="G89" s="193">
        <v>5.3</v>
      </c>
      <c r="H89" s="192" t="str">
        <f t="shared" si="2"/>
        <v>=5.3</v>
      </c>
      <c r="I89" s="156">
        <f>5.3</f>
        <v>5.3</v>
      </c>
    </row>
    <row r="90" spans="1:9" ht="15.75" customHeight="1">
      <c r="A90" s="173">
        <v>5</v>
      </c>
      <c r="B90" s="174" t="s">
        <v>227</v>
      </c>
      <c r="C90" s="173">
        <v>16.8</v>
      </c>
      <c r="D90" s="176">
        <v>6.5</v>
      </c>
      <c r="E90" s="175"/>
      <c r="G90" s="193" t="s">
        <v>382</v>
      </c>
      <c r="H90" s="192" t="str">
        <f t="shared" si="2"/>
        <v>=9.1+7.7</v>
      </c>
      <c r="I90" s="156">
        <f>9.1+7.7</f>
        <v>16.8</v>
      </c>
    </row>
    <row r="91" spans="1:9" ht="15.75" customHeight="1">
      <c r="A91" s="173">
        <v>6</v>
      </c>
      <c r="B91" s="174" t="s">
        <v>227</v>
      </c>
      <c r="C91" s="173">
        <v>24</v>
      </c>
      <c r="D91" s="176">
        <v>5.8</v>
      </c>
      <c r="E91" s="175"/>
      <c r="G91" s="193" t="s">
        <v>383</v>
      </c>
      <c r="H91" s="192" t="str">
        <f t="shared" si="2"/>
        <v>=7.1+6+5.8+5.1</v>
      </c>
      <c r="I91" s="156">
        <f>7.1+6+5.8+5.1</f>
        <v>24</v>
      </c>
    </row>
    <row r="92" spans="1:9" ht="15.75" customHeight="1">
      <c r="A92" s="173">
        <v>7</v>
      </c>
      <c r="B92" s="174" t="s">
        <v>227</v>
      </c>
      <c r="C92" s="173">
        <v>24.7</v>
      </c>
      <c r="D92" s="176">
        <v>4.5</v>
      </c>
      <c r="E92" s="175"/>
      <c r="G92" s="193" t="s">
        <v>384</v>
      </c>
      <c r="H92" s="192" t="str">
        <f t="shared" si="2"/>
        <v>=5.1+4.6+4.5+4.2+3.2+3.1</v>
      </c>
      <c r="I92" s="156">
        <f>5.1+4.6+4.5+4.2+3.2+3.1</f>
        <v>24.7</v>
      </c>
    </row>
    <row r="93" spans="1:9" ht="15.75" customHeight="1">
      <c r="A93" s="173">
        <v>8</v>
      </c>
      <c r="B93" s="174" t="s">
        <v>256</v>
      </c>
      <c r="C93" s="173">
        <v>5.8</v>
      </c>
      <c r="D93" s="176">
        <v>6</v>
      </c>
      <c r="E93" s="175"/>
      <c r="G93" s="193">
        <v>5.8</v>
      </c>
      <c r="H93" s="192" t="str">
        <f t="shared" si="2"/>
        <v>=5.8</v>
      </c>
      <c r="I93" s="156">
        <f>5.8</f>
        <v>5.8</v>
      </c>
    </row>
    <row r="94" spans="1:9" ht="15.75" customHeight="1">
      <c r="A94" s="173">
        <v>9</v>
      </c>
      <c r="B94" s="174" t="s">
        <v>256</v>
      </c>
      <c r="C94" s="173">
        <v>7.6</v>
      </c>
      <c r="D94" s="176">
        <v>6.9</v>
      </c>
      <c r="E94" s="175"/>
      <c r="G94" s="193">
        <v>7.6</v>
      </c>
      <c r="H94" s="192" t="str">
        <f t="shared" si="2"/>
        <v>=7.6</v>
      </c>
      <c r="I94" s="156">
        <f>7.6</f>
        <v>7.6</v>
      </c>
    </row>
    <row r="95" spans="1:9" ht="15.75" customHeight="1">
      <c r="A95" s="173">
        <v>10</v>
      </c>
      <c r="B95" s="174" t="s">
        <v>258</v>
      </c>
      <c r="C95" s="173">
        <v>4.0999999999999996</v>
      </c>
      <c r="D95" s="176">
        <v>2.5</v>
      </c>
      <c r="E95" s="175"/>
      <c r="G95" s="193">
        <v>4.0999999999999996</v>
      </c>
      <c r="H95" s="192" t="str">
        <f t="shared" si="2"/>
        <v>=4.1</v>
      </c>
      <c r="I95" s="156">
        <f>4.1</f>
        <v>4.0999999999999996</v>
      </c>
    </row>
    <row r="96" spans="1:9" ht="15.75" customHeight="1">
      <c r="A96" s="173">
        <v>11</v>
      </c>
      <c r="B96" s="174" t="s">
        <v>260</v>
      </c>
      <c r="C96" s="173">
        <v>4</v>
      </c>
      <c r="D96" s="176">
        <v>5.2</v>
      </c>
      <c r="E96" s="175"/>
      <c r="G96" s="193">
        <v>4</v>
      </c>
      <c r="H96" s="192" t="str">
        <f t="shared" si="2"/>
        <v>=4</v>
      </c>
      <c r="I96" s="156">
        <f>4</f>
        <v>4</v>
      </c>
    </row>
    <row r="97" spans="1:9" ht="15.75" customHeight="1">
      <c r="A97" s="173">
        <v>12</v>
      </c>
      <c r="B97" s="174" t="s">
        <v>260</v>
      </c>
      <c r="C97" s="173">
        <v>5.4</v>
      </c>
      <c r="D97" s="176">
        <v>5</v>
      </c>
      <c r="E97" s="175"/>
      <c r="G97" s="193">
        <v>5.4</v>
      </c>
      <c r="H97" s="192" t="str">
        <f t="shared" si="2"/>
        <v>=5.4</v>
      </c>
      <c r="I97" s="156">
        <f>5.4</f>
        <v>5.4</v>
      </c>
    </row>
    <row r="98" spans="1:9" ht="15.75" customHeight="1">
      <c r="A98" s="173">
        <v>13</v>
      </c>
      <c r="B98" s="174" t="s">
        <v>260</v>
      </c>
      <c r="C98" s="173">
        <v>5.4</v>
      </c>
      <c r="D98" s="176">
        <v>5</v>
      </c>
      <c r="E98" s="175"/>
      <c r="G98" s="193">
        <v>5.4</v>
      </c>
      <c r="H98" s="192" t="str">
        <f t="shared" si="2"/>
        <v>=5.4</v>
      </c>
      <c r="I98" s="156">
        <f>5.4</f>
        <v>5.4</v>
      </c>
    </row>
    <row r="99" spans="1:9" ht="15.75" customHeight="1">
      <c r="A99" s="173">
        <v>14</v>
      </c>
      <c r="B99" s="174" t="s">
        <v>260</v>
      </c>
      <c r="C99" s="173">
        <v>6</v>
      </c>
      <c r="D99" s="176">
        <v>7</v>
      </c>
      <c r="E99" s="175"/>
      <c r="G99" s="193">
        <v>6</v>
      </c>
      <c r="H99" s="192" t="str">
        <f t="shared" si="2"/>
        <v>=6</v>
      </c>
      <c r="I99" s="156">
        <f>6</f>
        <v>6</v>
      </c>
    </row>
    <row r="100" spans="1:9" ht="15.75" customHeight="1">
      <c r="A100" s="173">
        <v>15</v>
      </c>
      <c r="B100" s="174" t="s">
        <v>260</v>
      </c>
      <c r="C100" s="173">
        <v>6.4</v>
      </c>
      <c r="D100" s="176">
        <v>6</v>
      </c>
      <c r="E100" s="175"/>
      <c r="G100" s="193">
        <v>6.4</v>
      </c>
      <c r="H100" s="192" t="str">
        <f t="shared" si="2"/>
        <v>=6.4</v>
      </c>
      <c r="I100" s="156">
        <f>6.4</f>
        <v>6.4</v>
      </c>
    </row>
    <row r="101" spans="1:9" ht="15.75" customHeight="1">
      <c r="A101" s="173">
        <v>16</v>
      </c>
      <c r="B101" s="174" t="s">
        <v>260</v>
      </c>
      <c r="C101" s="173">
        <v>6.5</v>
      </c>
      <c r="D101" s="176">
        <v>6</v>
      </c>
      <c r="E101" s="175"/>
      <c r="G101" s="193">
        <v>6.5</v>
      </c>
      <c r="H101" s="192" t="str">
        <f t="shared" si="2"/>
        <v>=6.5</v>
      </c>
      <c r="I101" s="156">
        <f>6.5</f>
        <v>6.5</v>
      </c>
    </row>
    <row r="102" spans="1:9" ht="15.75" customHeight="1">
      <c r="A102" s="173">
        <v>17</v>
      </c>
      <c r="B102" s="174" t="s">
        <v>260</v>
      </c>
      <c r="C102" s="173">
        <v>6.9</v>
      </c>
      <c r="D102" s="176">
        <v>7.8</v>
      </c>
      <c r="E102" s="175"/>
      <c r="G102" s="193">
        <v>6.9</v>
      </c>
      <c r="H102" s="192" t="str">
        <f t="shared" si="2"/>
        <v>=6.9</v>
      </c>
      <c r="I102" s="156">
        <f>6.9</f>
        <v>6.9</v>
      </c>
    </row>
    <row r="103" spans="1:9" ht="15.75" customHeight="1">
      <c r="A103" s="173">
        <v>18</v>
      </c>
      <c r="B103" s="174" t="s">
        <v>260</v>
      </c>
      <c r="C103" s="173">
        <v>9.3000000000000007</v>
      </c>
      <c r="D103" s="176">
        <v>7.8</v>
      </c>
      <c r="E103" s="175"/>
      <c r="G103" s="193">
        <v>9.3000000000000007</v>
      </c>
      <c r="H103" s="192" t="str">
        <f t="shared" si="2"/>
        <v>=9.3</v>
      </c>
      <c r="I103" s="156">
        <f>9.3</f>
        <v>9.3000000000000007</v>
      </c>
    </row>
    <row r="104" spans="1:9" ht="15.75" customHeight="1">
      <c r="A104" s="173">
        <v>19</v>
      </c>
      <c r="B104" s="174" t="s">
        <v>214</v>
      </c>
      <c r="C104" s="173">
        <v>9.4</v>
      </c>
      <c r="D104" s="176">
        <v>7.2</v>
      </c>
      <c r="E104" s="175"/>
      <c r="G104" s="193">
        <v>9.4</v>
      </c>
      <c r="H104" s="192" t="str">
        <f t="shared" si="2"/>
        <v>=9.4</v>
      </c>
      <c r="I104" s="156">
        <f>9.4</f>
        <v>9.4</v>
      </c>
    </row>
    <row r="105" spans="1:9" ht="15.75" customHeight="1">
      <c r="A105" s="173">
        <v>20</v>
      </c>
      <c r="B105" s="174" t="s">
        <v>228</v>
      </c>
      <c r="C105" s="173">
        <v>15.899999999999999</v>
      </c>
      <c r="D105" s="176">
        <v>6.2</v>
      </c>
      <c r="E105" s="175"/>
      <c r="G105" s="193" t="s">
        <v>385</v>
      </c>
      <c r="H105" s="192" t="str">
        <f t="shared" si="2"/>
        <v>=9.1+6.8</v>
      </c>
      <c r="I105" s="156">
        <f>9.1+6.8</f>
        <v>15.899999999999999</v>
      </c>
    </row>
    <row r="106" spans="1:9" ht="15.75" customHeight="1">
      <c r="A106" s="173">
        <v>21</v>
      </c>
      <c r="B106" s="174" t="s">
        <v>263</v>
      </c>
      <c r="C106" s="173">
        <v>10.1</v>
      </c>
      <c r="D106" s="176">
        <v>11</v>
      </c>
      <c r="E106" s="175"/>
      <c r="G106" s="193">
        <v>10.1</v>
      </c>
      <c r="H106" s="192" t="str">
        <f t="shared" si="2"/>
        <v>=10.1</v>
      </c>
      <c r="I106" s="156">
        <f>10.1</f>
        <v>10.1</v>
      </c>
    </row>
    <row r="107" spans="1:9" ht="15.75" customHeight="1">
      <c r="A107" s="173">
        <v>22</v>
      </c>
      <c r="B107" s="174" t="s">
        <v>263</v>
      </c>
      <c r="C107" s="173">
        <v>13.8</v>
      </c>
      <c r="D107" s="176">
        <v>6.8</v>
      </c>
      <c r="E107" s="175"/>
      <c r="G107" s="193">
        <v>13.8</v>
      </c>
      <c r="H107" s="192" t="str">
        <f t="shared" si="2"/>
        <v>=13.8</v>
      </c>
      <c r="I107" s="156">
        <f>13.8</f>
        <v>13.8</v>
      </c>
    </row>
    <row r="108" spans="1:9" ht="15.75" customHeight="1">
      <c r="A108" s="173">
        <v>23</v>
      </c>
      <c r="B108" s="174" t="s">
        <v>263</v>
      </c>
      <c r="C108" s="173">
        <v>14</v>
      </c>
      <c r="D108" s="176">
        <v>11</v>
      </c>
      <c r="E108" s="175"/>
      <c r="G108" s="193">
        <v>14</v>
      </c>
      <c r="H108" s="192" t="str">
        <f t="shared" si="2"/>
        <v>=14</v>
      </c>
      <c r="I108" s="156">
        <f>14</f>
        <v>14</v>
      </c>
    </row>
    <row r="109" spans="1:9" ht="15.75" customHeight="1">
      <c r="A109" s="173">
        <v>24</v>
      </c>
      <c r="B109" s="174" t="s">
        <v>263</v>
      </c>
      <c r="C109" s="173">
        <v>14.7</v>
      </c>
      <c r="D109" s="176">
        <v>10</v>
      </c>
      <c r="E109" s="175"/>
      <c r="G109" s="193">
        <v>14.7</v>
      </c>
      <c r="H109" s="192" t="str">
        <f t="shared" si="2"/>
        <v>=14.7</v>
      </c>
      <c r="I109" s="156">
        <f>14.7</f>
        <v>14.7</v>
      </c>
    </row>
    <row r="110" spans="1:9" ht="15.75" customHeight="1">
      <c r="A110" s="173">
        <v>25</v>
      </c>
      <c r="B110" s="174" t="s">
        <v>263</v>
      </c>
      <c r="C110" s="173">
        <v>15.2</v>
      </c>
      <c r="D110" s="176">
        <v>8.5</v>
      </c>
      <c r="E110" s="175"/>
      <c r="G110" s="193">
        <v>15.2</v>
      </c>
      <c r="H110" s="192" t="str">
        <f t="shared" si="2"/>
        <v>=15.2</v>
      </c>
      <c r="I110" s="156">
        <f>15.2</f>
        <v>15.2</v>
      </c>
    </row>
    <row r="111" spans="1:9" ht="15.75" customHeight="1">
      <c r="A111" s="173">
        <v>26</v>
      </c>
      <c r="B111" s="174" t="s">
        <v>263</v>
      </c>
      <c r="C111" s="173">
        <v>15.4</v>
      </c>
      <c r="D111" s="176">
        <v>11</v>
      </c>
      <c r="E111" s="175"/>
      <c r="G111" s="193">
        <v>15.4</v>
      </c>
      <c r="H111" s="192" t="str">
        <f t="shared" si="2"/>
        <v>=15.4</v>
      </c>
      <c r="I111" s="156">
        <f>15.4</f>
        <v>15.4</v>
      </c>
    </row>
    <row r="112" spans="1:9" ht="15.75" customHeight="1">
      <c r="A112" s="173">
        <v>27</v>
      </c>
      <c r="B112" s="174" t="s">
        <v>263</v>
      </c>
      <c r="C112" s="173">
        <v>16.100000000000001</v>
      </c>
      <c r="D112" s="176">
        <v>7.9</v>
      </c>
      <c r="E112" s="175"/>
      <c r="G112" s="193">
        <v>16.100000000000001</v>
      </c>
      <c r="H112" s="192" t="str">
        <f t="shared" si="2"/>
        <v>=16.1</v>
      </c>
      <c r="I112" s="156">
        <f>16.1</f>
        <v>16.100000000000001</v>
      </c>
    </row>
    <row r="113" spans="1:9" ht="15.75" customHeight="1">
      <c r="A113" s="173">
        <v>28</v>
      </c>
      <c r="B113" s="174" t="s">
        <v>263</v>
      </c>
      <c r="C113" s="173">
        <v>16.5</v>
      </c>
      <c r="D113" s="176">
        <v>8.6999999999999993</v>
      </c>
      <c r="E113" s="175"/>
      <c r="G113" s="193">
        <v>16.5</v>
      </c>
      <c r="H113" s="192" t="str">
        <f t="shared" si="2"/>
        <v>=16.5</v>
      </c>
      <c r="I113" s="156">
        <f>16.5</f>
        <v>16.5</v>
      </c>
    </row>
    <row r="114" spans="1:9" ht="15.75" customHeight="1">
      <c r="A114" s="173">
        <v>29</v>
      </c>
      <c r="B114" s="174" t="s">
        <v>263</v>
      </c>
      <c r="C114" s="173">
        <v>17.399999999999999</v>
      </c>
      <c r="D114" s="176">
        <v>7.2</v>
      </c>
      <c r="E114" s="175"/>
      <c r="G114" s="193">
        <v>17.399999999999999</v>
      </c>
      <c r="H114" s="192" t="str">
        <f t="shared" si="2"/>
        <v>=17.4</v>
      </c>
      <c r="I114" s="156">
        <f>17.4</f>
        <v>17.399999999999999</v>
      </c>
    </row>
    <row r="115" spans="1:9" ht="15.75" customHeight="1">
      <c r="A115" s="173">
        <v>30</v>
      </c>
      <c r="B115" s="174" t="s">
        <v>263</v>
      </c>
      <c r="C115" s="173">
        <v>17.600000000000001</v>
      </c>
      <c r="D115" s="176">
        <v>10.8</v>
      </c>
      <c r="E115" s="175"/>
      <c r="G115" s="193">
        <v>17.600000000000001</v>
      </c>
      <c r="H115" s="192" t="str">
        <f t="shared" si="2"/>
        <v>=17.6</v>
      </c>
      <c r="I115" s="156">
        <f>17.6</f>
        <v>17.600000000000001</v>
      </c>
    </row>
    <row r="116" spans="1:9" ht="15.75" customHeight="1">
      <c r="A116" s="173">
        <v>31</v>
      </c>
      <c r="B116" s="174" t="s">
        <v>272</v>
      </c>
      <c r="C116" s="173">
        <v>7.5</v>
      </c>
      <c r="D116" s="176">
        <v>7</v>
      </c>
      <c r="E116" s="175"/>
      <c r="G116" s="193">
        <v>7.5</v>
      </c>
      <c r="H116" s="192" t="str">
        <f t="shared" si="2"/>
        <v>=7.5</v>
      </c>
      <c r="I116" s="156">
        <f>7.5</f>
        <v>7.5</v>
      </c>
    </row>
    <row r="117" spans="1:9" ht="15.75" customHeight="1">
      <c r="A117" s="173">
        <v>32</v>
      </c>
      <c r="B117" s="174" t="s">
        <v>263</v>
      </c>
      <c r="C117" s="173">
        <v>15.5</v>
      </c>
      <c r="D117" s="176">
        <v>8.1999999999999993</v>
      </c>
      <c r="E117" s="175"/>
      <c r="G117" s="193">
        <v>15.5</v>
      </c>
      <c r="H117" s="192" t="str">
        <f t="shared" si="2"/>
        <v>=15.5</v>
      </c>
      <c r="I117" s="156">
        <f>15.5</f>
        <v>15.5</v>
      </c>
    </row>
    <row r="118" spans="1:9" ht="15.75" customHeight="1">
      <c r="A118" s="173">
        <v>33</v>
      </c>
      <c r="B118" s="174" t="s">
        <v>273</v>
      </c>
      <c r="C118" s="173">
        <v>11.7</v>
      </c>
      <c r="D118" s="176">
        <v>6.8</v>
      </c>
      <c r="E118" s="175"/>
      <c r="G118" s="193" t="s">
        <v>386</v>
      </c>
      <c r="H118" s="192" t="str">
        <f t="shared" si="2"/>
        <v>=6.3+5.4</v>
      </c>
      <c r="I118" s="156">
        <f>6.3+5.4</f>
        <v>11.7</v>
      </c>
    </row>
    <row r="119" spans="1:9" ht="15.75" customHeight="1">
      <c r="A119" s="173">
        <v>34</v>
      </c>
      <c r="B119" s="174" t="s">
        <v>265</v>
      </c>
      <c r="C119" s="173">
        <v>5.0999999999999996</v>
      </c>
      <c r="D119" s="176">
        <v>3.2</v>
      </c>
      <c r="E119" s="175"/>
      <c r="G119" s="193">
        <v>5.0999999999999996</v>
      </c>
      <c r="H119" s="192" t="str">
        <f t="shared" si="2"/>
        <v>=5.1</v>
      </c>
      <c r="I119" s="156">
        <f>5.1</f>
        <v>5.0999999999999996</v>
      </c>
    </row>
    <row r="120" spans="1:9" ht="15.75" customHeight="1">
      <c r="A120" s="173">
        <v>35</v>
      </c>
      <c r="B120" s="174" t="s">
        <v>265</v>
      </c>
      <c r="C120" s="173">
        <v>6.5</v>
      </c>
      <c r="D120" s="176">
        <v>4.8</v>
      </c>
      <c r="E120" s="175"/>
      <c r="G120" s="193">
        <v>6.5</v>
      </c>
      <c r="H120" s="192" t="str">
        <f t="shared" si="2"/>
        <v>=6.5</v>
      </c>
      <c r="I120" s="156">
        <f>6.5</f>
        <v>6.5</v>
      </c>
    </row>
    <row r="121" spans="1:9" ht="15.75" customHeight="1">
      <c r="A121" s="173">
        <v>36</v>
      </c>
      <c r="B121" s="174" t="s">
        <v>265</v>
      </c>
      <c r="C121" s="173">
        <v>9.1000000000000014</v>
      </c>
      <c r="D121" s="176">
        <v>3.8</v>
      </c>
      <c r="E121" s="175"/>
      <c r="G121" s="193" t="s">
        <v>387</v>
      </c>
      <c r="H121" s="192" t="str">
        <f t="shared" si="2"/>
        <v>=4.7+4.4</v>
      </c>
      <c r="I121" s="156">
        <f>4.7+4.4</f>
        <v>9.1000000000000014</v>
      </c>
    </row>
    <row r="122" spans="1:9" ht="15.75" customHeight="1">
      <c r="A122" s="173">
        <v>37</v>
      </c>
      <c r="B122" s="174" t="s">
        <v>265</v>
      </c>
      <c r="C122" s="173">
        <v>11.7</v>
      </c>
      <c r="D122" s="176">
        <v>2.5</v>
      </c>
      <c r="E122" s="175"/>
      <c r="G122" s="193" t="s">
        <v>380</v>
      </c>
      <c r="H122" s="192" t="str">
        <f t="shared" si="2"/>
        <v>=6.2+5.5</v>
      </c>
      <c r="I122" s="156">
        <f>6.2+5.5</f>
        <v>11.7</v>
      </c>
    </row>
    <row r="123" spans="1:9" ht="15.75" customHeight="1">
      <c r="A123" s="173">
        <v>38</v>
      </c>
      <c r="B123" s="174" t="s">
        <v>229</v>
      </c>
      <c r="C123" s="173">
        <v>5</v>
      </c>
      <c r="D123" s="176">
        <v>5.5</v>
      </c>
      <c r="E123" s="175"/>
      <c r="G123" s="193">
        <v>5</v>
      </c>
      <c r="H123" s="192" t="str">
        <f t="shared" si="2"/>
        <v>=5</v>
      </c>
      <c r="I123" s="156">
        <f>5</f>
        <v>5</v>
      </c>
    </row>
    <row r="124" spans="1:9" ht="15.75" customHeight="1">
      <c r="A124" s="164"/>
      <c r="B124" s="165"/>
      <c r="C124" s="166"/>
      <c r="D124" s="166"/>
      <c r="E124" s="167"/>
    </row>
    <row r="125" spans="1:9" ht="15.75" customHeight="1">
      <c r="A125" s="168"/>
      <c r="B125" s="177"/>
      <c r="C125" s="170"/>
      <c r="D125" s="170"/>
      <c r="E125" s="171"/>
    </row>
    <row r="126" spans="1:9" ht="15.75" customHeight="1">
      <c r="A126" s="248" t="s">
        <v>246</v>
      </c>
      <c r="B126" s="249"/>
      <c r="C126" s="249"/>
      <c r="D126" s="249"/>
      <c r="E126" s="249"/>
    </row>
    <row r="127" spans="1:9" ht="15.75" customHeight="1">
      <c r="A127" s="248" t="s">
        <v>247</v>
      </c>
      <c r="B127" s="249"/>
      <c r="C127" s="249"/>
      <c r="D127" s="249"/>
      <c r="E127" s="249"/>
    </row>
    <row r="128" spans="1:9" ht="30">
      <c r="A128" s="162" t="s">
        <v>248</v>
      </c>
      <c r="B128" s="162" t="s">
        <v>249</v>
      </c>
      <c r="C128" s="163" t="s">
        <v>250</v>
      </c>
      <c r="D128" s="163" t="s">
        <v>251</v>
      </c>
      <c r="E128" s="162" t="s">
        <v>252</v>
      </c>
    </row>
    <row r="129" spans="1:5" ht="15.75" customHeight="1">
      <c r="A129" s="173">
        <v>1</v>
      </c>
      <c r="B129" s="174" t="s">
        <v>218</v>
      </c>
      <c r="C129" s="176">
        <v>42.8</v>
      </c>
      <c r="D129" s="173">
        <v>13</v>
      </c>
      <c r="E129" s="175"/>
    </row>
    <row r="130" spans="1:5" ht="15.75" customHeight="1">
      <c r="A130" s="173">
        <v>2</v>
      </c>
      <c r="B130" s="174" t="s">
        <v>274</v>
      </c>
      <c r="C130" s="176">
        <v>39.5</v>
      </c>
      <c r="D130" s="173">
        <v>9.6</v>
      </c>
      <c r="E130" s="175"/>
    </row>
    <row r="131" spans="1:5" ht="15.75" customHeight="1">
      <c r="A131" s="173">
        <v>3</v>
      </c>
      <c r="B131" s="174" t="s">
        <v>274</v>
      </c>
      <c r="C131" s="176">
        <v>31.1</v>
      </c>
      <c r="D131" s="173">
        <v>12.8</v>
      </c>
      <c r="E131" s="175"/>
    </row>
    <row r="132" spans="1:5" ht="15.75" customHeight="1">
      <c r="A132" s="173">
        <v>4</v>
      </c>
      <c r="B132" s="174" t="s">
        <v>274</v>
      </c>
      <c r="C132" s="176">
        <v>29.9</v>
      </c>
      <c r="D132" s="173">
        <v>9.3000000000000007</v>
      </c>
      <c r="E132" s="175"/>
    </row>
    <row r="133" spans="1:5" ht="15.75" customHeight="1">
      <c r="A133" s="173">
        <v>5</v>
      </c>
      <c r="B133" s="174" t="s">
        <v>274</v>
      </c>
      <c r="C133" s="176">
        <v>26.5</v>
      </c>
      <c r="D133" s="173">
        <v>9.5</v>
      </c>
      <c r="E133" s="175"/>
    </row>
    <row r="134" spans="1:5" ht="15.75" customHeight="1">
      <c r="A134" s="173">
        <v>6</v>
      </c>
      <c r="B134" s="174" t="s">
        <v>274</v>
      </c>
      <c r="C134" s="176">
        <v>24.6</v>
      </c>
      <c r="D134" s="173">
        <v>10.3</v>
      </c>
      <c r="E134" s="175"/>
    </row>
    <row r="135" spans="1:5" ht="15.75" customHeight="1">
      <c r="A135" s="173">
        <v>7</v>
      </c>
      <c r="B135" s="174" t="s">
        <v>218</v>
      </c>
      <c r="C135" s="176">
        <v>24.2</v>
      </c>
      <c r="D135" s="173">
        <v>12.3</v>
      </c>
      <c r="E135" s="175"/>
    </row>
    <row r="136" spans="1:5" ht="15.75" customHeight="1">
      <c r="A136" s="173">
        <v>8</v>
      </c>
      <c r="B136" s="174" t="s">
        <v>274</v>
      </c>
      <c r="C136" s="176">
        <v>23.4</v>
      </c>
      <c r="D136" s="173">
        <v>9.1999999999999993</v>
      </c>
      <c r="E136" s="175"/>
    </row>
    <row r="137" spans="1:5" ht="15.75" customHeight="1">
      <c r="A137" s="173">
        <v>9</v>
      </c>
      <c r="B137" s="174" t="s">
        <v>218</v>
      </c>
      <c r="C137" s="176">
        <v>22.9</v>
      </c>
      <c r="D137" s="173">
        <v>12</v>
      </c>
      <c r="E137" s="175"/>
    </row>
    <row r="138" spans="1:5" ht="15.75" customHeight="1">
      <c r="A138" s="173">
        <v>10</v>
      </c>
      <c r="B138" s="174" t="s">
        <v>218</v>
      </c>
      <c r="C138" s="176">
        <v>22.4</v>
      </c>
      <c r="D138" s="173">
        <v>8.4</v>
      </c>
      <c r="E138" s="175"/>
    </row>
    <row r="139" spans="1:5" ht="15.75" customHeight="1">
      <c r="A139" s="173">
        <v>11</v>
      </c>
      <c r="B139" s="174" t="s">
        <v>274</v>
      </c>
      <c r="C139" s="176">
        <v>22</v>
      </c>
      <c r="D139" s="173">
        <v>11.8</v>
      </c>
      <c r="E139" s="175"/>
    </row>
    <row r="140" spans="1:5" ht="15.75" customHeight="1">
      <c r="A140" s="173">
        <v>12</v>
      </c>
      <c r="B140" s="174" t="s">
        <v>274</v>
      </c>
      <c r="C140" s="176">
        <v>21.9</v>
      </c>
      <c r="D140" s="173">
        <v>9.8000000000000007</v>
      </c>
      <c r="E140" s="175"/>
    </row>
    <row r="141" spans="1:5" ht="15.75" customHeight="1">
      <c r="A141" s="173">
        <v>13</v>
      </c>
      <c r="B141" s="174" t="s">
        <v>274</v>
      </c>
      <c r="C141" s="176">
        <v>21.8</v>
      </c>
      <c r="D141" s="173">
        <v>9.1999999999999993</v>
      </c>
      <c r="E141" s="175"/>
    </row>
    <row r="142" spans="1:5" ht="15.75" customHeight="1">
      <c r="A142" s="173">
        <v>14</v>
      </c>
      <c r="B142" s="174" t="s">
        <v>274</v>
      </c>
      <c r="C142" s="176">
        <v>21.6</v>
      </c>
      <c r="D142" s="173">
        <v>10.7</v>
      </c>
      <c r="E142" s="175"/>
    </row>
    <row r="143" spans="1:5" ht="15.75" customHeight="1">
      <c r="A143" s="173">
        <v>15</v>
      </c>
      <c r="B143" s="174" t="s">
        <v>274</v>
      </c>
      <c r="C143" s="176">
        <v>21.3</v>
      </c>
      <c r="D143" s="173">
        <v>8.6999999999999993</v>
      </c>
      <c r="E143" s="175"/>
    </row>
    <row r="144" spans="1:5" ht="15.75" customHeight="1">
      <c r="A144" s="173">
        <v>16</v>
      </c>
      <c r="B144" s="174" t="s">
        <v>274</v>
      </c>
      <c r="C144" s="176">
        <v>21.2</v>
      </c>
      <c r="D144" s="173">
        <v>7.8</v>
      </c>
      <c r="E144" s="175"/>
    </row>
    <row r="145" spans="1:5" ht="15.75" customHeight="1">
      <c r="A145" s="173">
        <v>17</v>
      </c>
      <c r="B145" s="174" t="s">
        <v>274</v>
      </c>
      <c r="C145" s="176">
        <v>20.9</v>
      </c>
      <c r="D145" s="173">
        <v>9.5</v>
      </c>
      <c r="E145" s="175"/>
    </row>
    <row r="146" spans="1:5" ht="15.75" customHeight="1">
      <c r="A146" s="173">
        <v>18</v>
      </c>
      <c r="B146" s="174" t="s">
        <v>274</v>
      </c>
      <c r="C146" s="176">
        <v>20.8</v>
      </c>
      <c r="D146" s="173">
        <v>9.1</v>
      </c>
      <c r="E146" s="175"/>
    </row>
    <row r="147" spans="1:5" ht="15.75" customHeight="1">
      <c r="A147" s="173">
        <v>19</v>
      </c>
      <c r="B147" s="174" t="s">
        <v>274</v>
      </c>
      <c r="C147" s="176">
        <v>20.8</v>
      </c>
      <c r="D147" s="173">
        <v>9.1999999999999993</v>
      </c>
      <c r="E147" s="175"/>
    </row>
    <row r="148" spans="1:5" ht="15.75" customHeight="1">
      <c r="A148" s="173">
        <v>20</v>
      </c>
      <c r="B148" s="174" t="s">
        <v>274</v>
      </c>
      <c r="C148" s="176">
        <v>20.399999999999999</v>
      </c>
      <c r="D148" s="173">
        <v>10</v>
      </c>
      <c r="E148" s="175"/>
    </row>
    <row r="149" spans="1:5" ht="15.75" customHeight="1">
      <c r="A149" s="173">
        <v>21</v>
      </c>
      <c r="B149" s="174" t="s">
        <v>274</v>
      </c>
      <c r="C149" s="176">
        <v>20.2</v>
      </c>
      <c r="D149" s="173">
        <v>10.3</v>
      </c>
      <c r="E149" s="175"/>
    </row>
    <row r="150" spans="1:5" ht="15.75" customHeight="1">
      <c r="A150" s="173">
        <v>22</v>
      </c>
      <c r="B150" s="174" t="s">
        <v>274</v>
      </c>
      <c r="C150" s="176">
        <v>19.7</v>
      </c>
      <c r="D150" s="173">
        <v>9.8000000000000007</v>
      </c>
      <c r="E150" s="175"/>
    </row>
    <row r="151" spans="1:5" ht="15.75" customHeight="1">
      <c r="A151" s="173">
        <v>23</v>
      </c>
      <c r="B151" s="174" t="s">
        <v>274</v>
      </c>
      <c r="C151" s="176">
        <v>19.600000000000001</v>
      </c>
      <c r="D151" s="173">
        <v>10.3</v>
      </c>
      <c r="E151" s="175"/>
    </row>
    <row r="152" spans="1:5" ht="15.75" customHeight="1">
      <c r="A152" s="173">
        <v>24</v>
      </c>
      <c r="B152" s="174" t="s">
        <v>274</v>
      </c>
      <c r="C152" s="176">
        <v>19.600000000000001</v>
      </c>
      <c r="D152" s="173">
        <v>8.5</v>
      </c>
      <c r="E152" s="175"/>
    </row>
    <row r="153" spans="1:5" ht="15.75" customHeight="1">
      <c r="A153" s="173">
        <v>25</v>
      </c>
      <c r="B153" s="174" t="s">
        <v>274</v>
      </c>
      <c r="C153" s="176">
        <v>19.5</v>
      </c>
      <c r="D153" s="173">
        <v>10.1</v>
      </c>
      <c r="E153" s="175"/>
    </row>
    <row r="154" spans="1:5" ht="15.75" customHeight="1">
      <c r="A154" s="173">
        <v>26</v>
      </c>
      <c r="B154" s="174" t="s">
        <v>274</v>
      </c>
      <c r="C154" s="176">
        <v>19.5</v>
      </c>
      <c r="D154" s="173">
        <v>9.3000000000000007</v>
      </c>
      <c r="E154" s="175"/>
    </row>
    <row r="155" spans="1:5" ht="15.75" customHeight="1">
      <c r="A155" s="173">
        <v>27</v>
      </c>
      <c r="B155" s="174" t="s">
        <v>274</v>
      </c>
      <c r="C155" s="176">
        <v>19</v>
      </c>
      <c r="D155" s="173">
        <v>9.1999999999999993</v>
      </c>
      <c r="E155" s="175"/>
    </row>
    <row r="156" spans="1:5" ht="15.75" customHeight="1">
      <c r="A156" s="173">
        <v>28</v>
      </c>
      <c r="B156" s="174" t="s">
        <v>218</v>
      </c>
      <c r="C156" s="176">
        <v>18.600000000000001</v>
      </c>
      <c r="D156" s="173">
        <v>11.2</v>
      </c>
      <c r="E156" s="175"/>
    </row>
    <row r="157" spans="1:5" ht="15.75" customHeight="1">
      <c r="A157" s="173">
        <v>29</v>
      </c>
      <c r="B157" s="174" t="s">
        <v>274</v>
      </c>
      <c r="C157" s="176">
        <v>18.5</v>
      </c>
      <c r="D157" s="173">
        <v>10.3</v>
      </c>
      <c r="E157" s="175"/>
    </row>
    <row r="158" spans="1:5" ht="15.75" customHeight="1">
      <c r="A158" s="173">
        <v>30</v>
      </c>
      <c r="B158" s="174" t="s">
        <v>274</v>
      </c>
      <c r="C158" s="176">
        <v>18.399999999999999</v>
      </c>
      <c r="D158" s="173">
        <v>10.5</v>
      </c>
      <c r="E158" s="175"/>
    </row>
    <row r="159" spans="1:5" ht="15.75" customHeight="1">
      <c r="A159" s="173">
        <v>31</v>
      </c>
      <c r="B159" s="174" t="s">
        <v>274</v>
      </c>
      <c r="C159" s="176">
        <v>18.399999999999999</v>
      </c>
      <c r="D159" s="173">
        <v>10.5</v>
      </c>
      <c r="E159" s="175"/>
    </row>
    <row r="160" spans="1:5" ht="15.75" customHeight="1">
      <c r="A160" s="173">
        <v>32</v>
      </c>
      <c r="B160" s="174" t="s">
        <v>218</v>
      </c>
      <c r="C160" s="176" t="s">
        <v>460</v>
      </c>
      <c r="D160" s="173" t="s">
        <v>460</v>
      </c>
      <c r="E160" s="175"/>
    </row>
    <row r="161" spans="1:8" s="179" customFormat="1" ht="15.75" customHeight="1">
      <c r="A161" s="178"/>
      <c r="B161" s="165"/>
      <c r="C161" s="166"/>
      <c r="D161" s="167"/>
      <c r="E161" s="167"/>
      <c r="G161" s="194"/>
      <c r="H161" s="194"/>
    </row>
    <row r="162" spans="1:8" s="179" customFormat="1" ht="15.75" customHeight="1">
      <c r="A162" s="180"/>
      <c r="B162" s="169"/>
      <c r="C162" s="170"/>
      <c r="D162" s="171"/>
      <c r="E162" s="171"/>
      <c r="G162" s="194"/>
      <c r="H162" s="194"/>
    </row>
    <row r="163" spans="1:8" s="179" customFormat="1" ht="15.75" customHeight="1">
      <c r="A163" s="180"/>
      <c r="B163" s="169"/>
      <c r="C163" s="170"/>
      <c r="D163" s="171"/>
      <c r="E163" s="171"/>
      <c r="G163" s="194"/>
      <c r="H163" s="194"/>
    </row>
    <row r="164" spans="1:8" s="179" customFormat="1" ht="15.75" customHeight="1">
      <c r="A164" s="180"/>
      <c r="B164" s="169"/>
      <c r="C164" s="170"/>
      <c r="D164" s="171"/>
      <c r="E164" s="171"/>
      <c r="G164" s="194"/>
      <c r="H164" s="194"/>
    </row>
    <row r="165" spans="1:8" s="179" customFormat="1" ht="15.75" customHeight="1">
      <c r="A165" s="180"/>
      <c r="B165" s="169"/>
      <c r="C165" s="170"/>
      <c r="D165" s="171"/>
      <c r="E165" s="171"/>
      <c r="G165" s="194"/>
      <c r="H165" s="194"/>
    </row>
    <row r="166" spans="1:8" s="179" customFormat="1" ht="15.75" customHeight="1">
      <c r="A166" s="180"/>
      <c r="B166" s="169"/>
      <c r="C166" s="181"/>
      <c r="D166" s="182"/>
      <c r="E166" s="171"/>
      <c r="G166" s="194"/>
      <c r="H166" s="194"/>
    </row>
    <row r="167" spans="1:8" s="179" customFormat="1" ht="15.75" customHeight="1">
      <c r="A167" s="180"/>
      <c r="B167" s="169"/>
      <c r="C167" s="170"/>
      <c r="D167" s="171"/>
      <c r="E167" s="171"/>
      <c r="G167" s="194"/>
      <c r="H167" s="194"/>
    </row>
    <row r="168" spans="1:8" s="179" customFormat="1" ht="15.75" customHeight="1">
      <c r="A168" s="180"/>
      <c r="B168" s="169"/>
      <c r="C168" s="170"/>
      <c r="D168" s="171"/>
      <c r="E168" s="171"/>
      <c r="G168" s="194"/>
      <c r="H168" s="194"/>
    </row>
    <row r="169" spans="1:8" s="179" customFormat="1" ht="15.75" customHeight="1">
      <c r="A169" s="180"/>
      <c r="B169" s="169"/>
      <c r="C169" s="170"/>
      <c r="D169" s="171"/>
      <c r="E169" s="171"/>
      <c r="G169" s="194"/>
      <c r="H169" s="194"/>
    </row>
    <row r="170" spans="1:8" ht="15.75" customHeight="1">
      <c r="A170" s="177"/>
      <c r="B170" s="171"/>
      <c r="C170" s="171"/>
      <c r="D170" s="171"/>
      <c r="E170" s="171"/>
    </row>
  </sheetData>
  <mergeCells count="5">
    <mergeCell ref="A83:E83"/>
    <mergeCell ref="A84:E84"/>
    <mergeCell ref="A126:E126"/>
    <mergeCell ref="A127:E127"/>
    <mergeCell ref="A4:E5"/>
  </mergeCells>
  <phoneticPr fontId="5"/>
  <pageMargins left="0.70866141732283472" right="0.70866141732283472" top="0.74803149606299213" bottom="0.74803149606299213" header="0.31496062992125984" footer="0.31496062992125984"/>
  <pageSetup paperSize="9" scale="73" orientation="portrait" r:id="rId1"/>
  <headerFooter alignWithMargins="0"/>
  <rowBreaks count="2" manualBreakCount="2">
    <brk id="50" max="4" man="1"/>
    <brk id="100" max="4"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I165"/>
  <sheetViews>
    <sheetView view="pageBreakPreview" zoomScale="70" zoomScaleNormal="100" zoomScaleSheetLayoutView="70" workbookViewId="0"/>
  </sheetViews>
  <sheetFormatPr defaultRowHeight="14.25"/>
  <cols>
    <col min="1" max="1" width="10.625" style="156" customWidth="1"/>
    <col min="2" max="2" width="40.625" style="156" customWidth="1"/>
    <col min="3" max="4" width="10.625" style="156" customWidth="1"/>
    <col min="5" max="5" width="30.625" style="156" customWidth="1"/>
    <col min="6" max="6" width="9" style="156"/>
    <col min="7" max="8" width="9" style="192"/>
    <col min="9" max="16384" width="9" style="156"/>
  </cols>
  <sheetData>
    <row r="1" spans="1:9" ht="15.75" customHeight="1">
      <c r="A1" s="33" t="s">
        <v>363</v>
      </c>
      <c r="B1" s="155"/>
      <c r="C1" s="155"/>
      <c r="D1" s="155"/>
      <c r="E1" s="155"/>
    </row>
    <row r="2" spans="1:9" ht="15.75" customHeight="1">
      <c r="A2" s="1" t="s">
        <v>223</v>
      </c>
      <c r="B2" s="155"/>
      <c r="C2" s="155"/>
      <c r="D2" s="155"/>
      <c r="E2" s="155"/>
    </row>
    <row r="3" spans="1:9" ht="15.75" customHeight="1">
      <c r="A3" s="37" t="s">
        <v>210</v>
      </c>
      <c r="B3" s="155"/>
      <c r="C3" s="155"/>
      <c r="D3" s="155"/>
      <c r="E3" s="155"/>
    </row>
    <row r="4" spans="1:9" ht="15.75" customHeight="1">
      <c r="A4" s="250" t="s">
        <v>275</v>
      </c>
      <c r="B4" s="250"/>
      <c r="C4" s="250"/>
      <c r="D4" s="250"/>
      <c r="E4" s="250"/>
    </row>
    <row r="5" spans="1:9" ht="15.75" customHeight="1">
      <c r="A5" s="250"/>
      <c r="B5" s="250"/>
      <c r="C5" s="250"/>
      <c r="D5" s="250"/>
      <c r="E5" s="250"/>
    </row>
    <row r="6" spans="1:9" ht="15.75" customHeight="1">
      <c r="A6" s="159" t="s">
        <v>237</v>
      </c>
      <c r="B6" s="155"/>
      <c r="C6" s="155"/>
      <c r="D6" s="155"/>
      <c r="E6" s="155"/>
    </row>
    <row r="7" spans="1:9" ht="15.75" customHeight="1">
      <c r="A7" s="160" t="s">
        <v>238</v>
      </c>
      <c r="B7" s="161"/>
      <c r="C7" s="161"/>
      <c r="D7" s="161"/>
      <c r="E7" s="161"/>
    </row>
    <row r="8" spans="1:9" ht="30">
      <c r="A8" s="162" t="s">
        <v>239</v>
      </c>
      <c r="B8" s="162" t="s">
        <v>240</v>
      </c>
      <c r="C8" s="163" t="s">
        <v>241</v>
      </c>
      <c r="D8" s="163" t="s">
        <v>242</v>
      </c>
      <c r="E8" s="162" t="s">
        <v>243</v>
      </c>
    </row>
    <row r="9" spans="1:9" ht="15.75" customHeight="1">
      <c r="A9" s="173">
        <v>1</v>
      </c>
      <c r="B9" s="174" t="s">
        <v>222</v>
      </c>
      <c r="C9" s="173">
        <v>1.6</v>
      </c>
      <c r="D9" s="173">
        <v>1.7</v>
      </c>
      <c r="E9" s="175"/>
      <c r="G9" s="193">
        <v>1.6</v>
      </c>
      <c r="H9" s="192" t="str">
        <f t="shared" ref="H9:H68" si="0">"="&amp;G9</f>
        <v>=1.6</v>
      </c>
      <c r="I9" s="156">
        <f>1.6</f>
        <v>1.6</v>
      </c>
    </row>
    <row r="10" spans="1:9" ht="15.75" customHeight="1">
      <c r="A10" s="173">
        <v>2</v>
      </c>
      <c r="B10" s="174" t="s">
        <v>214</v>
      </c>
      <c r="C10" s="173">
        <v>2.2000000000000002</v>
      </c>
      <c r="D10" s="173">
        <v>2.4</v>
      </c>
      <c r="E10" s="175"/>
      <c r="G10" s="193">
        <v>2.2000000000000002</v>
      </c>
      <c r="H10" s="192" t="str">
        <f t="shared" si="0"/>
        <v>=2.2</v>
      </c>
      <c r="I10" s="156">
        <f>2.2</f>
        <v>2.2000000000000002</v>
      </c>
    </row>
    <row r="11" spans="1:9" ht="15.75" customHeight="1">
      <c r="A11" s="173">
        <v>3</v>
      </c>
      <c r="B11" s="174" t="s">
        <v>227</v>
      </c>
      <c r="C11" s="173">
        <v>1.2</v>
      </c>
      <c r="D11" s="173">
        <v>1.5</v>
      </c>
      <c r="E11" s="175"/>
      <c r="G11" s="193">
        <v>1.2</v>
      </c>
      <c r="H11" s="192" t="str">
        <f t="shared" si="0"/>
        <v>=1.2</v>
      </c>
      <c r="I11" s="156">
        <f>1.2</f>
        <v>1.2</v>
      </c>
    </row>
    <row r="12" spans="1:9" ht="15.75" customHeight="1">
      <c r="A12" s="173">
        <v>4</v>
      </c>
      <c r="B12" s="174" t="s">
        <v>227</v>
      </c>
      <c r="C12" s="173">
        <v>1.6</v>
      </c>
      <c r="D12" s="176">
        <v>3</v>
      </c>
      <c r="E12" s="175"/>
      <c r="G12" s="193">
        <v>1.6</v>
      </c>
      <c r="H12" s="192" t="str">
        <f t="shared" si="0"/>
        <v>=1.6</v>
      </c>
      <c r="I12" s="156">
        <f>1.6</f>
        <v>1.6</v>
      </c>
    </row>
    <row r="13" spans="1:9" ht="15.75" customHeight="1">
      <c r="A13" s="173">
        <v>5</v>
      </c>
      <c r="B13" s="174" t="s">
        <v>227</v>
      </c>
      <c r="C13" s="173">
        <v>2</v>
      </c>
      <c r="D13" s="176">
        <v>2.5</v>
      </c>
      <c r="E13" s="175"/>
      <c r="G13" s="193">
        <v>2</v>
      </c>
      <c r="H13" s="192" t="str">
        <f t="shared" si="0"/>
        <v>=2</v>
      </c>
      <c r="I13" s="156">
        <f>2</f>
        <v>2</v>
      </c>
    </row>
    <row r="14" spans="1:9" ht="15.75" customHeight="1">
      <c r="A14" s="173">
        <v>6</v>
      </c>
      <c r="B14" s="174" t="s">
        <v>227</v>
      </c>
      <c r="C14" s="173">
        <v>2.1</v>
      </c>
      <c r="D14" s="176">
        <v>1.3</v>
      </c>
      <c r="E14" s="175"/>
      <c r="G14" s="193">
        <v>2.1</v>
      </c>
      <c r="H14" s="192" t="str">
        <f t="shared" si="0"/>
        <v>=2.1</v>
      </c>
      <c r="I14" s="156">
        <f>2.1</f>
        <v>2.1</v>
      </c>
    </row>
    <row r="15" spans="1:9" ht="15.75" customHeight="1">
      <c r="A15" s="173">
        <v>7</v>
      </c>
      <c r="B15" s="174" t="s">
        <v>227</v>
      </c>
      <c r="C15" s="173">
        <v>2.5</v>
      </c>
      <c r="D15" s="173">
        <v>2</v>
      </c>
      <c r="E15" s="175"/>
      <c r="G15" s="193">
        <v>2.5</v>
      </c>
      <c r="H15" s="192" t="str">
        <f t="shared" si="0"/>
        <v>=2.5</v>
      </c>
      <c r="I15" s="156">
        <f>2.5</f>
        <v>2.5</v>
      </c>
    </row>
    <row r="16" spans="1:9" ht="15.75" customHeight="1">
      <c r="A16" s="173">
        <v>8</v>
      </c>
      <c r="B16" s="174" t="s">
        <v>227</v>
      </c>
      <c r="C16" s="173">
        <v>2.5</v>
      </c>
      <c r="D16" s="173">
        <v>3</v>
      </c>
      <c r="E16" s="175"/>
      <c r="G16" s="193">
        <v>2.5</v>
      </c>
      <c r="H16" s="192" t="str">
        <f t="shared" si="0"/>
        <v>=2.5</v>
      </c>
      <c r="I16" s="156">
        <f>2.5</f>
        <v>2.5</v>
      </c>
    </row>
    <row r="17" spans="1:9" ht="15.75" customHeight="1">
      <c r="A17" s="173">
        <v>9</v>
      </c>
      <c r="B17" s="174" t="s">
        <v>227</v>
      </c>
      <c r="C17" s="173">
        <v>2.5</v>
      </c>
      <c r="D17" s="173">
        <v>2</v>
      </c>
      <c r="E17" s="175"/>
      <c r="G17" s="193">
        <v>2.5</v>
      </c>
      <c r="H17" s="192" t="str">
        <f t="shared" si="0"/>
        <v>=2.5</v>
      </c>
      <c r="I17" s="156">
        <f>2.5</f>
        <v>2.5</v>
      </c>
    </row>
    <row r="18" spans="1:9" ht="15.75" customHeight="1">
      <c r="A18" s="173">
        <v>10</v>
      </c>
      <c r="B18" s="174" t="s">
        <v>227</v>
      </c>
      <c r="C18" s="173">
        <v>2.5</v>
      </c>
      <c r="D18" s="173">
        <v>3.5</v>
      </c>
      <c r="E18" s="175"/>
      <c r="G18" s="193">
        <v>2.5</v>
      </c>
      <c r="H18" s="192" t="str">
        <f t="shared" si="0"/>
        <v>=2.5</v>
      </c>
      <c r="I18" s="156">
        <f>2.5</f>
        <v>2.5</v>
      </c>
    </row>
    <row r="19" spans="1:9" ht="15.75" customHeight="1">
      <c r="A19" s="173">
        <v>11</v>
      </c>
      <c r="B19" s="174" t="s">
        <v>227</v>
      </c>
      <c r="C19" s="173">
        <v>2.6</v>
      </c>
      <c r="D19" s="173">
        <v>1.4</v>
      </c>
      <c r="E19" s="175"/>
      <c r="G19" s="193">
        <v>2.6</v>
      </c>
      <c r="H19" s="192" t="str">
        <f t="shared" si="0"/>
        <v>=2.6</v>
      </c>
      <c r="I19" s="156">
        <f>2.6</f>
        <v>2.6</v>
      </c>
    </row>
    <row r="20" spans="1:9" ht="15.75" customHeight="1">
      <c r="A20" s="173">
        <v>12</v>
      </c>
      <c r="B20" s="174" t="s">
        <v>227</v>
      </c>
      <c r="C20" s="173">
        <v>3</v>
      </c>
      <c r="D20" s="173">
        <v>3</v>
      </c>
      <c r="E20" s="175"/>
      <c r="G20" s="193">
        <v>3</v>
      </c>
      <c r="H20" s="192" t="str">
        <f t="shared" si="0"/>
        <v>=3</v>
      </c>
      <c r="I20" s="156">
        <f>3</f>
        <v>3</v>
      </c>
    </row>
    <row r="21" spans="1:9" ht="15.75" customHeight="1">
      <c r="A21" s="173">
        <v>13</v>
      </c>
      <c r="B21" s="174" t="s">
        <v>227</v>
      </c>
      <c r="C21" s="173">
        <v>3.4</v>
      </c>
      <c r="D21" s="173">
        <v>4</v>
      </c>
      <c r="E21" s="175"/>
      <c r="G21" s="193">
        <v>3.4</v>
      </c>
      <c r="H21" s="192" t="str">
        <f t="shared" si="0"/>
        <v>=3.4</v>
      </c>
      <c r="I21" s="156">
        <f>3.4</f>
        <v>3.4</v>
      </c>
    </row>
    <row r="22" spans="1:9" ht="15.75" customHeight="1">
      <c r="A22" s="173">
        <v>14</v>
      </c>
      <c r="B22" s="174" t="s">
        <v>227</v>
      </c>
      <c r="C22" s="173">
        <v>3.5</v>
      </c>
      <c r="D22" s="173">
        <v>4</v>
      </c>
      <c r="E22" s="175"/>
      <c r="G22" s="193">
        <v>3.5</v>
      </c>
      <c r="H22" s="192" t="str">
        <f t="shared" si="0"/>
        <v>=3.5</v>
      </c>
      <c r="I22" s="156">
        <f>3.5</f>
        <v>3.5</v>
      </c>
    </row>
    <row r="23" spans="1:9" ht="15.75" customHeight="1">
      <c r="A23" s="173">
        <v>15</v>
      </c>
      <c r="B23" s="174" t="s">
        <v>227</v>
      </c>
      <c r="C23" s="173">
        <v>2.1</v>
      </c>
      <c r="D23" s="173">
        <v>1.4</v>
      </c>
      <c r="E23" s="175"/>
      <c r="G23" s="193" t="s">
        <v>388</v>
      </c>
      <c r="H23" s="192" t="str">
        <f t="shared" si="0"/>
        <v>=1.2+0.9</v>
      </c>
      <c r="I23" s="156">
        <f>1.2+0.9</f>
        <v>2.1</v>
      </c>
    </row>
    <row r="24" spans="1:9" ht="15.75" customHeight="1">
      <c r="A24" s="173">
        <v>16</v>
      </c>
      <c r="B24" s="174" t="s">
        <v>227</v>
      </c>
      <c r="C24" s="173">
        <v>1.8</v>
      </c>
      <c r="D24" s="173">
        <v>1.5</v>
      </c>
      <c r="E24" s="175"/>
      <c r="G24" s="193" t="s">
        <v>389</v>
      </c>
      <c r="H24" s="192" t="str">
        <f t="shared" si="0"/>
        <v>=1.3+0.5</v>
      </c>
      <c r="I24" s="156">
        <f>1.3+0.5</f>
        <v>1.8</v>
      </c>
    </row>
    <row r="25" spans="1:9" ht="15.75" customHeight="1">
      <c r="A25" s="173">
        <v>17</v>
      </c>
      <c r="B25" s="174" t="s">
        <v>227</v>
      </c>
      <c r="C25" s="173">
        <v>2.6</v>
      </c>
      <c r="D25" s="173">
        <v>1.6</v>
      </c>
      <c r="E25" s="175"/>
      <c r="G25" s="193" t="s">
        <v>390</v>
      </c>
      <c r="H25" s="192" t="str">
        <f t="shared" si="0"/>
        <v>=1.3+1.3</v>
      </c>
      <c r="I25" s="156">
        <f>1.3+1.3</f>
        <v>2.6</v>
      </c>
    </row>
    <row r="26" spans="1:9" ht="15.75" customHeight="1">
      <c r="A26" s="173">
        <v>18</v>
      </c>
      <c r="B26" s="174" t="s">
        <v>227</v>
      </c>
      <c r="C26" s="173">
        <v>6.3999999999999995</v>
      </c>
      <c r="D26" s="173">
        <v>1.4</v>
      </c>
      <c r="E26" s="175"/>
      <c r="G26" s="193" t="s">
        <v>391</v>
      </c>
      <c r="H26" s="192" t="str">
        <f t="shared" si="0"/>
        <v>=1.9+1.8+1.4+1.3</v>
      </c>
      <c r="I26" s="156">
        <f>1.9+1.8+1.4+1.3</f>
        <v>6.3999999999999995</v>
      </c>
    </row>
    <row r="27" spans="1:9" ht="15.75" customHeight="1">
      <c r="A27" s="173">
        <v>19</v>
      </c>
      <c r="B27" s="174" t="s">
        <v>227</v>
      </c>
      <c r="C27" s="173">
        <v>3.5</v>
      </c>
      <c r="D27" s="173">
        <v>1.2</v>
      </c>
      <c r="E27" s="175"/>
      <c r="G27" s="193" t="s">
        <v>392</v>
      </c>
      <c r="H27" s="192" t="str">
        <f t="shared" si="0"/>
        <v>=2+1.5</v>
      </c>
      <c r="I27" s="156">
        <f>2+1.5</f>
        <v>3.5</v>
      </c>
    </row>
    <row r="28" spans="1:9" ht="15.75" customHeight="1">
      <c r="A28" s="173">
        <v>20</v>
      </c>
      <c r="B28" s="174" t="s">
        <v>227</v>
      </c>
      <c r="C28" s="173">
        <v>5.8000000000000007</v>
      </c>
      <c r="D28" s="173">
        <v>3.5</v>
      </c>
      <c r="E28" s="175"/>
      <c r="G28" s="193" t="s">
        <v>393</v>
      </c>
      <c r="H28" s="192" t="str">
        <f t="shared" si="0"/>
        <v>=2.2+2.1+1.5</v>
      </c>
      <c r="I28" s="156">
        <f>2.2+2.1+1.5</f>
        <v>5.8000000000000007</v>
      </c>
    </row>
    <row r="29" spans="1:9" ht="15.75" customHeight="1">
      <c r="A29" s="173">
        <v>21</v>
      </c>
      <c r="B29" s="174" t="s">
        <v>227</v>
      </c>
      <c r="C29" s="173">
        <v>5.8999999999999995</v>
      </c>
      <c r="D29" s="173">
        <v>2.2999999999999998</v>
      </c>
      <c r="E29" s="175"/>
      <c r="G29" s="193" t="s">
        <v>394</v>
      </c>
      <c r="H29" s="192" t="str">
        <f t="shared" si="0"/>
        <v>=2.2+1.8+1.6+0.3</v>
      </c>
      <c r="I29" s="156">
        <f>2.2+1.8+1.6+0.3</f>
        <v>5.8999999999999995</v>
      </c>
    </row>
    <row r="30" spans="1:9" ht="15.75" customHeight="1">
      <c r="A30" s="173">
        <v>22</v>
      </c>
      <c r="B30" s="174" t="s">
        <v>227</v>
      </c>
      <c r="C30" s="173">
        <v>4.0999999999999996</v>
      </c>
      <c r="D30" s="173">
        <v>3</v>
      </c>
      <c r="E30" s="175"/>
      <c r="G30" s="193" t="s">
        <v>395</v>
      </c>
      <c r="H30" s="192" t="str">
        <f t="shared" si="0"/>
        <v>=2.3+1.8</v>
      </c>
      <c r="I30" s="156">
        <f>2.3+1.8</f>
        <v>4.0999999999999996</v>
      </c>
    </row>
    <row r="31" spans="1:9" ht="15.75" customHeight="1">
      <c r="A31" s="173">
        <v>23</v>
      </c>
      <c r="B31" s="174" t="s">
        <v>227</v>
      </c>
      <c r="C31" s="173">
        <v>4</v>
      </c>
      <c r="D31" s="173">
        <v>1.5</v>
      </c>
      <c r="E31" s="175"/>
      <c r="G31" s="193" t="s">
        <v>396</v>
      </c>
      <c r="H31" s="192" t="str">
        <f t="shared" si="0"/>
        <v>=2.5+1.5</v>
      </c>
      <c r="I31" s="156">
        <f>2.5+1.5</f>
        <v>4</v>
      </c>
    </row>
    <row r="32" spans="1:9" ht="15.75" customHeight="1">
      <c r="A32" s="173">
        <v>24</v>
      </c>
      <c r="B32" s="174" t="s">
        <v>227</v>
      </c>
      <c r="C32" s="173">
        <v>4.3</v>
      </c>
      <c r="D32" s="173">
        <v>2.5</v>
      </c>
      <c r="E32" s="175"/>
      <c r="G32" s="193" t="s">
        <v>397</v>
      </c>
      <c r="H32" s="192" t="str">
        <f t="shared" si="0"/>
        <v>=2.5+1.8</v>
      </c>
      <c r="I32" s="156">
        <f>2.5+1.8</f>
        <v>4.3</v>
      </c>
    </row>
    <row r="33" spans="1:9" ht="15.75" customHeight="1">
      <c r="A33" s="173">
        <v>25</v>
      </c>
      <c r="B33" s="174" t="s">
        <v>227</v>
      </c>
      <c r="C33" s="173">
        <v>3.1999999999999997</v>
      </c>
      <c r="D33" s="173">
        <v>3</v>
      </c>
      <c r="E33" s="175"/>
      <c r="G33" s="193" t="s">
        <v>398</v>
      </c>
      <c r="H33" s="192" t="str">
        <f t="shared" si="0"/>
        <v>=2.8+0.4</v>
      </c>
      <c r="I33" s="156">
        <f>2.8+0.4</f>
        <v>3.1999999999999997</v>
      </c>
    </row>
    <row r="34" spans="1:9" ht="15.75" customHeight="1">
      <c r="A34" s="173">
        <v>26</v>
      </c>
      <c r="B34" s="174" t="s">
        <v>227</v>
      </c>
      <c r="C34" s="173">
        <v>3.3</v>
      </c>
      <c r="D34" s="173">
        <v>2.5</v>
      </c>
      <c r="E34" s="175"/>
      <c r="G34" s="193" t="s">
        <v>399</v>
      </c>
      <c r="H34" s="192" t="str">
        <f t="shared" si="0"/>
        <v>=2.8+0.5</v>
      </c>
      <c r="I34" s="156">
        <f>2.8+0.5</f>
        <v>3.3</v>
      </c>
    </row>
    <row r="35" spans="1:9" ht="15.75" customHeight="1">
      <c r="A35" s="173">
        <v>27</v>
      </c>
      <c r="B35" s="174" t="s">
        <v>227</v>
      </c>
      <c r="C35" s="173">
        <v>5.4</v>
      </c>
      <c r="D35" s="173">
        <v>3</v>
      </c>
      <c r="E35" s="175"/>
      <c r="G35" s="193" t="s">
        <v>400</v>
      </c>
      <c r="H35" s="192" t="str">
        <f t="shared" si="0"/>
        <v>=3.2+2.2</v>
      </c>
      <c r="I35" s="156">
        <f>3.2+2.2</f>
        <v>5.4</v>
      </c>
    </row>
    <row r="36" spans="1:9" ht="15.75" customHeight="1">
      <c r="A36" s="173">
        <v>28</v>
      </c>
      <c r="B36" s="174" t="s">
        <v>227</v>
      </c>
      <c r="C36" s="173">
        <v>19.399999999999999</v>
      </c>
      <c r="D36" s="173">
        <v>3</v>
      </c>
      <c r="E36" s="175"/>
      <c r="G36" s="193" t="s">
        <v>401</v>
      </c>
      <c r="H36" s="192" t="str">
        <f t="shared" si="0"/>
        <v>=3.5+2.6+2.6+2.6+2.4+2.2+1.9+1.6</v>
      </c>
      <c r="I36" s="156">
        <f>3.5+2.6+2.6+2.6+2.4+2.2+1.9+1.6</f>
        <v>19.399999999999999</v>
      </c>
    </row>
    <row r="37" spans="1:9" ht="15.75" customHeight="1">
      <c r="A37" s="173">
        <v>29</v>
      </c>
      <c r="B37" s="174" t="s">
        <v>227</v>
      </c>
      <c r="C37" s="173">
        <v>8.6000000000000014</v>
      </c>
      <c r="D37" s="173">
        <v>4</v>
      </c>
      <c r="E37" s="175"/>
      <c r="G37" s="193" t="s">
        <v>402</v>
      </c>
      <c r="H37" s="192" t="str">
        <f t="shared" si="0"/>
        <v>=3.6+3.2+1.8</v>
      </c>
      <c r="I37" s="156">
        <f>3.6+3.2+1.8</f>
        <v>8.6000000000000014</v>
      </c>
    </row>
    <row r="38" spans="1:9" ht="15.75" customHeight="1">
      <c r="A38" s="173">
        <v>30</v>
      </c>
      <c r="B38" s="174" t="s">
        <v>227</v>
      </c>
      <c r="C38" s="173">
        <v>12.799999999999999</v>
      </c>
      <c r="D38" s="173">
        <v>3</v>
      </c>
      <c r="E38" s="175"/>
      <c r="G38" s="193" t="s">
        <v>403</v>
      </c>
      <c r="H38" s="192" t="str">
        <f t="shared" si="0"/>
        <v>=3.7+3+2.7+2.3+1.1</v>
      </c>
      <c r="I38" s="156">
        <f>3.7+3+2.7+2.3+1.1</f>
        <v>12.799999999999999</v>
      </c>
    </row>
    <row r="39" spans="1:9" ht="15.75" customHeight="1">
      <c r="A39" s="173">
        <v>31</v>
      </c>
      <c r="B39" s="174" t="s">
        <v>227</v>
      </c>
      <c r="C39" s="173">
        <v>9.5</v>
      </c>
      <c r="D39" s="173">
        <v>3</v>
      </c>
      <c r="E39" s="175"/>
      <c r="G39" s="193" t="s">
        <v>404</v>
      </c>
      <c r="H39" s="192" t="str">
        <f t="shared" si="0"/>
        <v>=4.2+2.8+2.5</v>
      </c>
      <c r="I39" s="156">
        <f>4.2+2.8+2.5</f>
        <v>9.5</v>
      </c>
    </row>
    <row r="40" spans="1:9" ht="15.75" customHeight="1">
      <c r="A40" s="173">
        <v>32</v>
      </c>
      <c r="B40" s="174" t="s">
        <v>227</v>
      </c>
      <c r="C40" s="173">
        <v>19.400000000000002</v>
      </c>
      <c r="D40" s="173">
        <v>3</v>
      </c>
      <c r="E40" s="175"/>
      <c r="G40" s="193" t="s">
        <v>405</v>
      </c>
      <c r="H40" s="192" t="str">
        <f t="shared" si="0"/>
        <v>=4.2+3.1+3+2.8+2.2+2.1+2</v>
      </c>
      <c r="I40" s="156">
        <f>4.2+3.1+3+2.8+2.2+2.1+2</f>
        <v>19.400000000000002</v>
      </c>
    </row>
    <row r="41" spans="1:9" ht="15.75" customHeight="1">
      <c r="A41" s="173">
        <v>33</v>
      </c>
      <c r="B41" s="174" t="s">
        <v>227</v>
      </c>
      <c r="C41" s="173">
        <v>12.2</v>
      </c>
      <c r="D41" s="173">
        <v>4</v>
      </c>
      <c r="E41" s="175"/>
      <c r="G41" s="193" t="s">
        <v>406</v>
      </c>
      <c r="H41" s="192" t="str">
        <f t="shared" si="0"/>
        <v>=4.3+3.5+2.4+2</v>
      </c>
      <c r="I41" s="156">
        <f>4.3+3.5+2.4+2</f>
        <v>12.2</v>
      </c>
    </row>
    <row r="42" spans="1:9" ht="15.75" customHeight="1">
      <c r="A42" s="173">
        <v>34</v>
      </c>
      <c r="B42" s="174" t="s">
        <v>227</v>
      </c>
      <c r="C42" s="173">
        <v>32.4</v>
      </c>
      <c r="D42" s="173">
        <v>2</v>
      </c>
      <c r="E42" s="175"/>
      <c r="G42" s="193" t="s">
        <v>407</v>
      </c>
      <c r="H42" s="192" t="str">
        <f t="shared" si="0"/>
        <v>=4.5+4.4+3.6+3.6+3.5+3.4+3.2+2.3+2.2+1.7</v>
      </c>
      <c r="I42" s="156">
        <f>4.5+4.4+3.6+3.6+3.5+3.4+3.2+2.3+2.2+1.7</f>
        <v>32.4</v>
      </c>
    </row>
    <row r="43" spans="1:9" ht="15.75" customHeight="1">
      <c r="A43" s="173">
        <v>35</v>
      </c>
      <c r="B43" s="174" t="s">
        <v>227</v>
      </c>
      <c r="C43" s="173">
        <v>0.3</v>
      </c>
      <c r="D43" s="173">
        <v>1.7</v>
      </c>
      <c r="E43" s="175"/>
      <c r="G43" s="193">
        <v>0.3</v>
      </c>
      <c r="H43" s="192" t="str">
        <f t="shared" si="0"/>
        <v>=0.3</v>
      </c>
      <c r="I43" s="156">
        <f>0.3</f>
        <v>0.3</v>
      </c>
    </row>
    <row r="44" spans="1:9" ht="15.75" customHeight="1">
      <c r="A44" s="173">
        <v>36</v>
      </c>
      <c r="B44" s="174" t="s">
        <v>227</v>
      </c>
      <c r="C44" s="173">
        <v>0.8</v>
      </c>
      <c r="D44" s="173">
        <v>2</v>
      </c>
      <c r="E44" s="175"/>
      <c r="G44" s="193">
        <v>0.8</v>
      </c>
      <c r="H44" s="192" t="str">
        <f t="shared" si="0"/>
        <v>=0.8</v>
      </c>
      <c r="I44" s="156">
        <f>0.8</f>
        <v>0.8</v>
      </c>
    </row>
    <row r="45" spans="1:9" ht="15.75" customHeight="1">
      <c r="A45" s="173">
        <v>37</v>
      </c>
      <c r="B45" s="174" t="s">
        <v>276</v>
      </c>
      <c r="C45" s="173">
        <v>2.4</v>
      </c>
      <c r="D45" s="173">
        <v>3</v>
      </c>
      <c r="E45" s="175"/>
      <c r="G45" s="193">
        <v>2.4</v>
      </c>
      <c r="H45" s="192" t="str">
        <f t="shared" si="0"/>
        <v>=2.4</v>
      </c>
      <c r="I45" s="156">
        <f>2.4</f>
        <v>2.4</v>
      </c>
    </row>
    <row r="46" spans="1:9" ht="15.75" customHeight="1">
      <c r="A46" s="173">
        <v>38</v>
      </c>
      <c r="B46" s="174" t="s">
        <v>260</v>
      </c>
      <c r="C46" s="173">
        <v>1.6</v>
      </c>
      <c r="D46" s="173">
        <v>0.4</v>
      </c>
      <c r="E46" s="175"/>
      <c r="G46" s="193">
        <v>1.6</v>
      </c>
      <c r="H46" s="192" t="str">
        <f t="shared" si="0"/>
        <v>=1.6</v>
      </c>
      <c r="I46" s="156">
        <f>1.6</f>
        <v>1.6</v>
      </c>
    </row>
    <row r="47" spans="1:9" ht="15.75" customHeight="1">
      <c r="A47" s="173">
        <v>39</v>
      </c>
      <c r="B47" s="174" t="s">
        <v>261</v>
      </c>
      <c r="C47" s="173">
        <v>2</v>
      </c>
      <c r="D47" s="173">
        <v>1.8</v>
      </c>
      <c r="E47" s="175"/>
      <c r="G47" s="193">
        <v>2</v>
      </c>
      <c r="H47" s="192" t="str">
        <f t="shared" si="0"/>
        <v>=2</v>
      </c>
      <c r="I47" s="156">
        <f>2</f>
        <v>2</v>
      </c>
    </row>
    <row r="48" spans="1:9" ht="15.75" customHeight="1">
      <c r="A48" s="173">
        <v>40</v>
      </c>
      <c r="B48" s="174" t="s">
        <v>261</v>
      </c>
      <c r="C48" s="173">
        <v>2.2000000000000002</v>
      </c>
      <c r="D48" s="173">
        <v>2</v>
      </c>
      <c r="E48" s="175"/>
      <c r="G48" s="193">
        <v>2.2000000000000002</v>
      </c>
      <c r="H48" s="192" t="str">
        <f t="shared" si="0"/>
        <v>=2.2</v>
      </c>
      <c r="I48" s="156">
        <f>2.2</f>
        <v>2.2000000000000002</v>
      </c>
    </row>
    <row r="49" spans="1:9" ht="15.75" customHeight="1">
      <c r="A49" s="173">
        <v>41</v>
      </c>
      <c r="B49" s="174" t="s">
        <v>261</v>
      </c>
      <c r="C49" s="173">
        <v>5.3000000000000007</v>
      </c>
      <c r="D49" s="173">
        <v>2</v>
      </c>
      <c r="E49" s="175"/>
      <c r="G49" s="193" t="s">
        <v>408</v>
      </c>
      <c r="H49" s="192" t="str">
        <f t="shared" si="0"/>
        <v>=2.7+2.6</v>
      </c>
      <c r="I49" s="156">
        <f>2.7+2.6</f>
        <v>5.3000000000000007</v>
      </c>
    </row>
    <row r="50" spans="1:9" ht="15.75" customHeight="1">
      <c r="A50" s="173">
        <v>42</v>
      </c>
      <c r="B50" s="174" t="s">
        <v>277</v>
      </c>
      <c r="C50" s="173">
        <v>0.2</v>
      </c>
      <c r="D50" s="173">
        <v>2.2999999999999998</v>
      </c>
      <c r="E50" s="175"/>
      <c r="G50" s="193">
        <v>0.2</v>
      </c>
      <c r="H50" s="192" t="str">
        <f t="shared" si="0"/>
        <v>=0.2</v>
      </c>
      <c r="I50" s="156">
        <f>0.2</f>
        <v>0.2</v>
      </c>
    </row>
    <row r="51" spans="1:9" ht="15.75" customHeight="1">
      <c r="A51" s="173">
        <v>43</v>
      </c>
      <c r="B51" s="174" t="s">
        <v>278</v>
      </c>
      <c r="C51" s="173">
        <v>3.8</v>
      </c>
      <c r="D51" s="173">
        <v>4</v>
      </c>
      <c r="E51" s="175"/>
      <c r="G51" s="193">
        <v>3.8</v>
      </c>
      <c r="H51" s="192" t="str">
        <f t="shared" si="0"/>
        <v>=3.8</v>
      </c>
      <c r="I51" s="156">
        <f>3.8</f>
        <v>3.8</v>
      </c>
    </row>
    <row r="52" spans="1:9" ht="15.75" customHeight="1">
      <c r="A52" s="173">
        <v>44</v>
      </c>
      <c r="B52" s="174" t="s">
        <v>278</v>
      </c>
      <c r="C52" s="173">
        <v>1.1000000000000001</v>
      </c>
      <c r="D52" s="173">
        <v>1.3</v>
      </c>
      <c r="E52" s="175"/>
      <c r="G52" s="193">
        <v>1.1000000000000001</v>
      </c>
      <c r="H52" s="192" t="str">
        <f t="shared" si="0"/>
        <v>=1.1</v>
      </c>
      <c r="I52" s="156">
        <f>1.1</f>
        <v>1.1000000000000001</v>
      </c>
    </row>
    <row r="53" spans="1:9" ht="15.75" customHeight="1">
      <c r="A53" s="173">
        <v>45</v>
      </c>
      <c r="B53" s="174" t="s">
        <v>221</v>
      </c>
      <c r="C53" s="173">
        <v>0.7</v>
      </c>
      <c r="D53" s="173">
        <v>1.5</v>
      </c>
      <c r="E53" s="175"/>
      <c r="G53" s="193" t="s">
        <v>409</v>
      </c>
      <c r="H53" s="192" t="str">
        <f t="shared" si="0"/>
        <v>=0.4+0.3</v>
      </c>
      <c r="I53" s="156">
        <f>0.4+0.3</f>
        <v>0.7</v>
      </c>
    </row>
    <row r="54" spans="1:9" ht="15.75" customHeight="1">
      <c r="A54" s="173">
        <v>46</v>
      </c>
      <c r="B54" s="174" t="s">
        <v>221</v>
      </c>
      <c r="C54" s="173">
        <v>1.8</v>
      </c>
      <c r="D54" s="173">
        <v>1.6</v>
      </c>
      <c r="E54" s="175"/>
      <c r="G54" s="193">
        <v>1.8</v>
      </c>
      <c r="H54" s="192" t="str">
        <f t="shared" si="0"/>
        <v>=1.8</v>
      </c>
      <c r="I54" s="156">
        <f>1.8</f>
        <v>1.8</v>
      </c>
    </row>
    <row r="55" spans="1:9" ht="15.75" customHeight="1">
      <c r="A55" s="173">
        <v>47</v>
      </c>
      <c r="B55" s="174" t="s">
        <v>221</v>
      </c>
      <c r="C55" s="173">
        <v>1.9</v>
      </c>
      <c r="D55" s="173">
        <v>6</v>
      </c>
      <c r="E55" s="175"/>
      <c r="G55" s="193">
        <v>1.9</v>
      </c>
      <c r="H55" s="192" t="str">
        <f t="shared" si="0"/>
        <v>=1.9</v>
      </c>
      <c r="I55" s="156">
        <f>1.9</f>
        <v>1.9</v>
      </c>
    </row>
    <row r="56" spans="1:9" ht="15.75" customHeight="1">
      <c r="A56" s="173">
        <v>48</v>
      </c>
      <c r="B56" s="174" t="s">
        <v>279</v>
      </c>
      <c r="C56" s="173">
        <v>0.8</v>
      </c>
      <c r="D56" s="173">
        <v>0.6</v>
      </c>
      <c r="E56" s="175"/>
      <c r="G56" s="193">
        <v>0.8</v>
      </c>
      <c r="H56" s="192" t="str">
        <f t="shared" si="0"/>
        <v>=0.8</v>
      </c>
      <c r="I56" s="156">
        <f>0.8</f>
        <v>0.8</v>
      </c>
    </row>
    <row r="57" spans="1:9" ht="15.75" customHeight="1">
      <c r="A57" s="173">
        <v>49</v>
      </c>
      <c r="B57" s="174" t="s">
        <v>280</v>
      </c>
      <c r="C57" s="173">
        <v>0.9</v>
      </c>
      <c r="D57" s="173">
        <v>1.5</v>
      </c>
      <c r="E57" s="175"/>
      <c r="G57" s="193">
        <v>0.9</v>
      </c>
      <c r="H57" s="192" t="str">
        <f t="shared" si="0"/>
        <v>=0.9</v>
      </c>
      <c r="I57" s="156">
        <f>0.9</f>
        <v>0.9</v>
      </c>
    </row>
    <row r="58" spans="1:9" ht="15.75" customHeight="1">
      <c r="A58" s="173">
        <v>50</v>
      </c>
      <c r="B58" s="174" t="s">
        <v>280</v>
      </c>
      <c r="C58" s="173">
        <v>0.8</v>
      </c>
      <c r="D58" s="173">
        <v>1.6</v>
      </c>
      <c r="E58" s="175"/>
      <c r="G58" s="193">
        <v>0.8</v>
      </c>
      <c r="H58" s="192" t="str">
        <f t="shared" si="0"/>
        <v>=0.8</v>
      </c>
      <c r="I58" s="156">
        <f>0.8</f>
        <v>0.8</v>
      </c>
    </row>
    <row r="59" spans="1:9" ht="15.75" customHeight="1">
      <c r="A59" s="173">
        <v>51</v>
      </c>
      <c r="B59" s="174" t="s">
        <v>280</v>
      </c>
      <c r="C59" s="173">
        <v>2.2999999999999998</v>
      </c>
      <c r="D59" s="173">
        <v>2.2000000000000002</v>
      </c>
      <c r="E59" s="175"/>
      <c r="G59" s="193">
        <v>2.2999999999999998</v>
      </c>
      <c r="H59" s="192" t="str">
        <f t="shared" si="0"/>
        <v>=2.3</v>
      </c>
      <c r="I59" s="156">
        <f>2.3</f>
        <v>2.2999999999999998</v>
      </c>
    </row>
    <row r="60" spans="1:9" ht="15.75" customHeight="1">
      <c r="A60" s="173">
        <v>52</v>
      </c>
      <c r="B60" s="174" t="s">
        <v>280</v>
      </c>
      <c r="C60" s="173">
        <v>7</v>
      </c>
      <c r="D60" s="173">
        <v>5</v>
      </c>
      <c r="E60" s="175"/>
      <c r="G60" s="193" t="s">
        <v>410</v>
      </c>
      <c r="H60" s="192" t="str">
        <f t="shared" si="0"/>
        <v>=4.9+2.1</v>
      </c>
      <c r="I60" s="156">
        <f>4.9+2.1</f>
        <v>7</v>
      </c>
    </row>
    <row r="61" spans="1:9" ht="15.75" customHeight="1">
      <c r="A61" s="173">
        <v>53</v>
      </c>
      <c r="B61" s="174" t="s">
        <v>264</v>
      </c>
      <c r="C61" s="173">
        <v>0.5</v>
      </c>
      <c r="D61" s="173">
        <v>1.4</v>
      </c>
      <c r="E61" s="175"/>
      <c r="G61" s="193">
        <v>0.5</v>
      </c>
      <c r="H61" s="192" t="str">
        <f t="shared" si="0"/>
        <v>=0.5</v>
      </c>
      <c r="I61" s="156">
        <f>0.5</f>
        <v>0.5</v>
      </c>
    </row>
    <row r="62" spans="1:9" ht="15.75" customHeight="1">
      <c r="A62" s="173">
        <v>54</v>
      </c>
      <c r="B62" s="174" t="s">
        <v>264</v>
      </c>
      <c r="C62" s="173">
        <v>0.8</v>
      </c>
      <c r="D62" s="173">
        <v>1.5</v>
      </c>
      <c r="E62" s="175"/>
      <c r="G62" s="193">
        <v>0.8</v>
      </c>
      <c r="H62" s="192" t="str">
        <f t="shared" si="0"/>
        <v>=0.8</v>
      </c>
      <c r="I62" s="156">
        <f>0.8</f>
        <v>0.8</v>
      </c>
    </row>
    <row r="63" spans="1:9" ht="15.75" customHeight="1">
      <c r="A63" s="173">
        <v>55</v>
      </c>
      <c r="B63" s="174" t="s">
        <v>264</v>
      </c>
      <c r="C63" s="173">
        <v>1.9</v>
      </c>
      <c r="D63" s="173">
        <v>1.5</v>
      </c>
      <c r="E63" s="175"/>
      <c r="G63" s="193">
        <v>1.9</v>
      </c>
      <c r="H63" s="192" t="str">
        <f t="shared" si="0"/>
        <v>=1.9</v>
      </c>
      <c r="I63" s="156">
        <f>1.9</f>
        <v>1.9</v>
      </c>
    </row>
    <row r="64" spans="1:9" ht="15.75" customHeight="1">
      <c r="A64" s="173">
        <v>56</v>
      </c>
      <c r="B64" s="174" t="s">
        <v>229</v>
      </c>
      <c r="C64" s="173">
        <v>0.2</v>
      </c>
      <c r="D64" s="173">
        <v>2.2000000000000002</v>
      </c>
      <c r="E64" s="175"/>
      <c r="G64" s="193">
        <v>0.2</v>
      </c>
      <c r="H64" s="192" t="str">
        <f t="shared" si="0"/>
        <v>=0.2</v>
      </c>
      <c r="I64" s="156">
        <f>0.2</f>
        <v>0.2</v>
      </c>
    </row>
    <row r="65" spans="1:9" ht="15.75" customHeight="1">
      <c r="A65" s="173">
        <v>57</v>
      </c>
      <c r="B65" s="174" t="s">
        <v>259</v>
      </c>
      <c r="C65" s="173">
        <v>0.3</v>
      </c>
      <c r="D65" s="173">
        <v>2</v>
      </c>
      <c r="E65" s="175"/>
      <c r="G65" s="193">
        <v>0.3</v>
      </c>
      <c r="H65" s="192" t="str">
        <f t="shared" si="0"/>
        <v>=0.3</v>
      </c>
      <c r="I65" s="156">
        <f>0.3</f>
        <v>0.3</v>
      </c>
    </row>
    <row r="66" spans="1:9" ht="15.75" customHeight="1">
      <c r="A66" s="173">
        <v>58</v>
      </c>
      <c r="B66" s="174" t="s">
        <v>259</v>
      </c>
      <c r="C66" s="173">
        <v>1.5999999999999999</v>
      </c>
      <c r="D66" s="173">
        <v>2.2000000000000002</v>
      </c>
      <c r="E66" s="175"/>
      <c r="G66" s="193" t="s">
        <v>411</v>
      </c>
      <c r="H66" s="192" t="str">
        <f t="shared" si="0"/>
        <v>=0.8+0.6+0.2</v>
      </c>
      <c r="I66" s="156">
        <f>0.8+0.6+0.2</f>
        <v>1.5999999999999999</v>
      </c>
    </row>
    <row r="67" spans="1:9" ht="15.75" customHeight="1">
      <c r="A67" s="173">
        <v>59</v>
      </c>
      <c r="B67" s="174" t="s">
        <v>259</v>
      </c>
      <c r="C67" s="173">
        <v>2</v>
      </c>
      <c r="D67" s="173">
        <v>1.6</v>
      </c>
      <c r="E67" s="175"/>
      <c r="G67" s="193" t="s">
        <v>412</v>
      </c>
      <c r="H67" s="192" t="str">
        <f t="shared" si="0"/>
        <v>=1.5+0.5</v>
      </c>
      <c r="I67" s="156">
        <f>1.5+0.5</f>
        <v>2</v>
      </c>
    </row>
    <row r="68" spans="1:9" ht="15.75" customHeight="1">
      <c r="A68" s="173">
        <v>60</v>
      </c>
      <c r="B68" s="174" t="s">
        <v>259</v>
      </c>
      <c r="C68" s="173">
        <v>4.0999999999999996</v>
      </c>
      <c r="D68" s="173">
        <v>3</v>
      </c>
      <c r="E68" s="175"/>
      <c r="G68" s="193" t="s">
        <v>413</v>
      </c>
      <c r="H68" s="192" t="str">
        <f t="shared" si="0"/>
        <v>=2.2+1.9</v>
      </c>
      <c r="I68" s="156">
        <f>2.2+1.9</f>
        <v>4.0999999999999996</v>
      </c>
    </row>
    <row r="69" spans="1:9" ht="15.75" customHeight="1">
      <c r="A69" s="164"/>
      <c r="B69" s="165"/>
      <c r="C69" s="166"/>
      <c r="D69" s="166"/>
      <c r="E69" s="167"/>
    </row>
    <row r="70" spans="1:9" ht="15.75" customHeight="1">
      <c r="A70" s="168"/>
      <c r="B70" s="169"/>
      <c r="C70" s="170"/>
      <c r="D70" s="170"/>
      <c r="E70" s="171"/>
    </row>
    <row r="71" spans="1:9" ht="15.75" customHeight="1">
      <c r="A71" s="248" t="s">
        <v>244</v>
      </c>
      <c r="B71" s="249"/>
      <c r="C71" s="249"/>
      <c r="D71" s="249"/>
      <c r="E71" s="249"/>
    </row>
    <row r="72" spans="1:9" ht="15.75" customHeight="1">
      <c r="A72" s="248" t="s">
        <v>245</v>
      </c>
      <c r="B72" s="249"/>
      <c r="C72" s="249"/>
      <c r="D72" s="249"/>
      <c r="E72" s="249"/>
    </row>
    <row r="73" spans="1:9" ht="30">
      <c r="A73" s="162" t="s">
        <v>239</v>
      </c>
      <c r="B73" s="162" t="s">
        <v>240</v>
      </c>
      <c r="C73" s="163" t="s">
        <v>241</v>
      </c>
      <c r="D73" s="163" t="s">
        <v>242</v>
      </c>
      <c r="E73" s="162" t="s">
        <v>243</v>
      </c>
    </row>
    <row r="74" spans="1:9" ht="15.75" customHeight="1">
      <c r="A74" s="173">
        <v>1</v>
      </c>
      <c r="B74" s="174" t="s">
        <v>222</v>
      </c>
      <c r="C74" s="173">
        <v>8.1999999999999993</v>
      </c>
      <c r="D74" s="173">
        <v>7</v>
      </c>
      <c r="E74" s="175"/>
      <c r="G74" s="193">
        <v>8.1999999999999993</v>
      </c>
      <c r="H74" s="192" t="str">
        <f t="shared" ref="H74:H137" si="1">"="&amp;G74</f>
        <v>=8.2</v>
      </c>
      <c r="I74" s="156">
        <f>8.2</f>
        <v>8.1999999999999993</v>
      </c>
    </row>
    <row r="75" spans="1:9" ht="15.75" customHeight="1">
      <c r="A75" s="173">
        <v>2</v>
      </c>
      <c r="B75" s="174" t="s">
        <v>222</v>
      </c>
      <c r="C75" s="173">
        <v>13.7</v>
      </c>
      <c r="D75" s="173">
        <v>10</v>
      </c>
      <c r="E75" s="175"/>
      <c r="G75" s="193">
        <v>13.7</v>
      </c>
      <c r="H75" s="192" t="str">
        <f t="shared" si="1"/>
        <v>=13.7</v>
      </c>
      <c r="I75" s="156">
        <f>13.7</f>
        <v>13.7</v>
      </c>
    </row>
    <row r="76" spans="1:9" ht="15.75" customHeight="1">
      <c r="A76" s="173">
        <v>3</v>
      </c>
      <c r="B76" s="174" t="s">
        <v>281</v>
      </c>
      <c r="C76" s="173">
        <v>4.5999999999999996</v>
      </c>
      <c r="D76" s="173">
        <v>4.2</v>
      </c>
      <c r="E76" s="175"/>
      <c r="G76" s="193">
        <v>4.5999999999999996</v>
      </c>
      <c r="H76" s="192" t="str">
        <f t="shared" si="1"/>
        <v>=4.6</v>
      </c>
      <c r="I76" s="156">
        <f>4.6</f>
        <v>4.5999999999999996</v>
      </c>
    </row>
    <row r="77" spans="1:9" ht="15.75" customHeight="1">
      <c r="A77" s="173">
        <v>4</v>
      </c>
      <c r="B77" s="174" t="s">
        <v>214</v>
      </c>
      <c r="C77" s="173">
        <v>11</v>
      </c>
      <c r="D77" s="176">
        <v>9</v>
      </c>
      <c r="E77" s="175"/>
      <c r="G77" s="193">
        <v>11</v>
      </c>
      <c r="H77" s="192" t="str">
        <f t="shared" si="1"/>
        <v>=11</v>
      </c>
      <c r="I77" s="156">
        <f>11</f>
        <v>11</v>
      </c>
    </row>
    <row r="78" spans="1:9" ht="15.75" customHeight="1">
      <c r="A78" s="173">
        <v>5</v>
      </c>
      <c r="B78" s="174" t="s">
        <v>214</v>
      </c>
      <c r="C78" s="173">
        <v>27.1</v>
      </c>
      <c r="D78" s="176">
        <v>9</v>
      </c>
      <c r="E78" s="175"/>
      <c r="G78" s="193" t="s">
        <v>414</v>
      </c>
      <c r="H78" s="192" t="str">
        <f t="shared" si="1"/>
        <v>=12.5+10.3+4.3</v>
      </c>
      <c r="I78" s="156">
        <f>12.5+10.3+4.3</f>
        <v>27.1</v>
      </c>
    </row>
    <row r="79" spans="1:9" ht="15.75" customHeight="1">
      <c r="A79" s="173">
        <v>6</v>
      </c>
      <c r="B79" s="174" t="s">
        <v>227</v>
      </c>
      <c r="C79" s="173">
        <v>4</v>
      </c>
      <c r="D79" s="176">
        <v>3.8</v>
      </c>
      <c r="E79" s="175"/>
      <c r="G79" s="193">
        <v>4</v>
      </c>
      <c r="H79" s="192" t="str">
        <f t="shared" si="1"/>
        <v>=4</v>
      </c>
      <c r="I79" s="156">
        <f>4</f>
        <v>4</v>
      </c>
    </row>
    <row r="80" spans="1:9" ht="15.75" customHeight="1">
      <c r="A80" s="173">
        <v>7</v>
      </c>
      <c r="B80" s="174" t="s">
        <v>214</v>
      </c>
      <c r="C80" s="173">
        <v>4</v>
      </c>
      <c r="D80" s="176">
        <v>5.2</v>
      </c>
      <c r="E80" s="175"/>
      <c r="G80" s="193">
        <v>4</v>
      </c>
      <c r="H80" s="192" t="str">
        <f t="shared" si="1"/>
        <v>=4</v>
      </c>
      <c r="I80" s="156">
        <f>4</f>
        <v>4</v>
      </c>
    </row>
    <row r="81" spans="1:9" ht="15.75" customHeight="1">
      <c r="A81" s="173">
        <v>8</v>
      </c>
      <c r="B81" s="174" t="s">
        <v>214</v>
      </c>
      <c r="C81" s="173">
        <v>4.2</v>
      </c>
      <c r="D81" s="176">
        <v>4.3</v>
      </c>
      <c r="E81" s="175"/>
      <c r="G81" s="193">
        <v>4.2</v>
      </c>
      <c r="H81" s="192" t="str">
        <f t="shared" si="1"/>
        <v>=4.2</v>
      </c>
      <c r="I81" s="156">
        <f>4.2</f>
        <v>4.2</v>
      </c>
    </row>
    <row r="82" spans="1:9" ht="15.75" customHeight="1">
      <c r="A82" s="173">
        <v>9</v>
      </c>
      <c r="B82" s="174" t="s">
        <v>214</v>
      </c>
      <c r="C82" s="173">
        <v>4.4000000000000004</v>
      </c>
      <c r="D82" s="176">
        <v>4.2</v>
      </c>
      <c r="E82" s="175"/>
      <c r="G82" s="193">
        <v>4.4000000000000004</v>
      </c>
      <c r="H82" s="192" t="str">
        <f t="shared" si="1"/>
        <v>=4.4</v>
      </c>
      <c r="I82" s="156">
        <f>4.4</f>
        <v>4.4000000000000004</v>
      </c>
    </row>
    <row r="83" spans="1:9" ht="15.75" customHeight="1">
      <c r="A83" s="173">
        <v>10</v>
      </c>
      <c r="B83" s="174" t="s">
        <v>227</v>
      </c>
      <c r="C83" s="173">
        <v>8.3000000000000007</v>
      </c>
      <c r="D83" s="176">
        <v>3</v>
      </c>
      <c r="E83" s="175"/>
      <c r="G83" s="193" t="s">
        <v>415</v>
      </c>
      <c r="H83" s="192" t="str">
        <f t="shared" si="1"/>
        <v>=4.7+3.6</v>
      </c>
      <c r="I83" s="156">
        <f>4.7+3.6</f>
        <v>8.3000000000000007</v>
      </c>
    </row>
    <row r="84" spans="1:9" ht="15.75" customHeight="1">
      <c r="A84" s="173">
        <v>11</v>
      </c>
      <c r="B84" s="174" t="s">
        <v>227</v>
      </c>
      <c r="C84" s="173">
        <v>13.8</v>
      </c>
      <c r="D84" s="176">
        <v>4.2</v>
      </c>
      <c r="E84" s="175"/>
      <c r="G84" s="193" t="s">
        <v>416</v>
      </c>
      <c r="H84" s="192" t="str">
        <f t="shared" si="1"/>
        <v>=5+4.8+4</v>
      </c>
      <c r="I84" s="156">
        <f>5+4.8+4</f>
        <v>13.8</v>
      </c>
    </row>
    <row r="85" spans="1:9" ht="15.75" customHeight="1">
      <c r="A85" s="173">
        <v>12</v>
      </c>
      <c r="B85" s="174" t="s">
        <v>227</v>
      </c>
      <c r="C85" s="173">
        <v>15.1</v>
      </c>
      <c r="D85" s="176">
        <v>5.6</v>
      </c>
      <c r="E85" s="175"/>
      <c r="G85" s="193" t="s">
        <v>417</v>
      </c>
      <c r="H85" s="192" t="str">
        <f t="shared" si="1"/>
        <v>=5.7+5.3+4.1</v>
      </c>
      <c r="I85" s="156">
        <f>5.7+5.3+4.1</f>
        <v>15.1</v>
      </c>
    </row>
    <row r="86" spans="1:9" ht="15.75" customHeight="1">
      <c r="A86" s="173">
        <v>13</v>
      </c>
      <c r="B86" s="174" t="s">
        <v>227</v>
      </c>
      <c r="C86" s="173">
        <v>15.899999999999999</v>
      </c>
      <c r="D86" s="176">
        <v>4</v>
      </c>
      <c r="E86" s="175"/>
      <c r="G86" s="193" t="s">
        <v>418</v>
      </c>
      <c r="H86" s="192" t="str">
        <f t="shared" si="1"/>
        <v>=8.6+3.8+3.5</v>
      </c>
      <c r="I86" s="156">
        <f>8.6+3.8+3.5</f>
        <v>15.899999999999999</v>
      </c>
    </row>
    <row r="87" spans="1:9" ht="15.75" customHeight="1">
      <c r="A87" s="173">
        <v>14</v>
      </c>
      <c r="B87" s="174" t="s">
        <v>227</v>
      </c>
      <c r="C87" s="173">
        <v>15.3</v>
      </c>
      <c r="D87" s="176">
        <v>5</v>
      </c>
      <c r="E87" s="175"/>
      <c r="G87" s="193" t="s">
        <v>419</v>
      </c>
      <c r="H87" s="192" t="str">
        <f t="shared" si="1"/>
        <v>=5+4.7+4.3+1.3</v>
      </c>
      <c r="I87" s="156">
        <f>5+4.7+4.3+1.3</f>
        <v>15.3</v>
      </c>
    </row>
    <row r="88" spans="1:9" ht="15.75" customHeight="1">
      <c r="A88" s="173">
        <v>15</v>
      </c>
      <c r="B88" s="174" t="s">
        <v>227</v>
      </c>
      <c r="C88" s="173">
        <v>19</v>
      </c>
      <c r="D88" s="176">
        <v>5.7</v>
      </c>
      <c r="E88" s="175"/>
      <c r="G88" s="193" t="s">
        <v>420</v>
      </c>
      <c r="H88" s="192" t="str">
        <f t="shared" si="1"/>
        <v>=5.5+5.4+4+4.1</v>
      </c>
      <c r="I88" s="156">
        <f>5.5+5.4+4+4.1</f>
        <v>19</v>
      </c>
    </row>
    <row r="89" spans="1:9" ht="15.75" customHeight="1">
      <c r="A89" s="173">
        <v>16</v>
      </c>
      <c r="B89" s="174" t="s">
        <v>227</v>
      </c>
      <c r="C89" s="173">
        <v>21.700000000000003</v>
      </c>
      <c r="D89" s="176">
        <v>5.7</v>
      </c>
      <c r="E89" s="175"/>
      <c r="G89" s="193" t="s">
        <v>421</v>
      </c>
      <c r="H89" s="192" t="str">
        <f t="shared" si="1"/>
        <v>=6+5.4+5.2+5.1</v>
      </c>
      <c r="I89" s="156">
        <f>6+5.4+5.2+5.1</f>
        <v>21.700000000000003</v>
      </c>
    </row>
    <row r="90" spans="1:9" ht="15.75" customHeight="1">
      <c r="A90" s="173">
        <v>17</v>
      </c>
      <c r="B90" s="174" t="s">
        <v>227</v>
      </c>
      <c r="C90" s="173">
        <v>24.099999999999998</v>
      </c>
      <c r="D90" s="176">
        <v>4</v>
      </c>
      <c r="E90" s="175"/>
      <c r="G90" s="193" t="s">
        <v>422</v>
      </c>
      <c r="H90" s="192" t="str">
        <f t="shared" si="1"/>
        <v>=8.9+4.3+4.2+3.4+3.3</v>
      </c>
      <c r="I90" s="156">
        <f>8.9+4.3+4.2+3.4+3.3</f>
        <v>24.099999999999998</v>
      </c>
    </row>
    <row r="91" spans="1:9" ht="15.75" customHeight="1">
      <c r="A91" s="173">
        <v>18</v>
      </c>
      <c r="B91" s="174" t="s">
        <v>282</v>
      </c>
      <c r="C91" s="173">
        <v>4</v>
      </c>
      <c r="D91" s="176">
        <v>3.8</v>
      </c>
      <c r="E91" s="175"/>
      <c r="G91" s="193">
        <v>4</v>
      </c>
      <c r="H91" s="192" t="str">
        <f t="shared" si="1"/>
        <v>=4</v>
      </c>
      <c r="I91" s="156">
        <f>4</f>
        <v>4</v>
      </c>
    </row>
    <row r="92" spans="1:9" ht="15.75" customHeight="1">
      <c r="A92" s="173">
        <v>19</v>
      </c>
      <c r="B92" s="174" t="s">
        <v>283</v>
      </c>
      <c r="C92" s="173">
        <v>5.7</v>
      </c>
      <c r="D92" s="176">
        <v>6</v>
      </c>
      <c r="E92" s="175"/>
      <c r="G92" s="193">
        <v>5.7</v>
      </c>
      <c r="H92" s="192" t="str">
        <f t="shared" si="1"/>
        <v>=5.7</v>
      </c>
      <c r="I92" s="156">
        <f>5.7</f>
        <v>5.7</v>
      </c>
    </row>
    <row r="93" spans="1:9" ht="15.75" customHeight="1">
      <c r="A93" s="173">
        <v>20</v>
      </c>
      <c r="B93" s="174" t="s">
        <v>225</v>
      </c>
      <c r="C93" s="173">
        <v>7</v>
      </c>
      <c r="D93" s="176">
        <v>8</v>
      </c>
      <c r="E93" s="175"/>
      <c r="G93" s="193">
        <v>7</v>
      </c>
      <c r="H93" s="192" t="str">
        <f t="shared" si="1"/>
        <v>=7</v>
      </c>
      <c r="I93" s="156">
        <f>7</f>
        <v>7</v>
      </c>
    </row>
    <row r="94" spans="1:9" ht="15.75" customHeight="1">
      <c r="A94" s="173">
        <v>21</v>
      </c>
      <c r="B94" s="174" t="s">
        <v>225</v>
      </c>
      <c r="C94" s="173">
        <v>7.4</v>
      </c>
      <c r="D94" s="176">
        <v>7.8</v>
      </c>
      <c r="E94" s="175"/>
      <c r="G94" s="193">
        <v>7.4</v>
      </c>
      <c r="H94" s="192" t="str">
        <f t="shared" si="1"/>
        <v>=7.4</v>
      </c>
      <c r="I94" s="156">
        <f>7.4</f>
        <v>7.4</v>
      </c>
    </row>
    <row r="95" spans="1:9" ht="15.75" customHeight="1">
      <c r="A95" s="173">
        <v>22</v>
      </c>
      <c r="B95" s="174" t="s">
        <v>225</v>
      </c>
      <c r="C95" s="173">
        <v>10</v>
      </c>
      <c r="D95" s="176">
        <v>6.7</v>
      </c>
      <c r="E95" s="175"/>
      <c r="G95" s="193">
        <v>10</v>
      </c>
      <c r="H95" s="192" t="str">
        <f t="shared" si="1"/>
        <v>=10</v>
      </c>
      <c r="I95" s="156">
        <f>10</f>
        <v>10</v>
      </c>
    </row>
    <row r="96" spans="1:9" ht="15.75" customHeight="1">
      <c r="A96" s="173">
        <v>23</v>
      </c>
      <c r="B96" s="174" t="s">
        <v>225</v>
      </c>
      <c r="C96" s="173">
        <v>11.1</v>
      </c>
      <c r="D96" s="176">
        <v>8.5</v>
      </c>
      <c r="E96" s="175"/>
      <c r="G96" s="193">
        <v>11.1</v>
      </c>
      <c r="H96" s="192" t="str">
        <f t="shared" si="1"/>
        <v>=11.1</v>
      </c>
      <c r="I96" s="156">
        <f>11.1</f>
        <v>11.1</v>
      </c>
    </row>
    <row r="97" spans="1:9" ht="15.75" customHeight="1">
      <c r="A97" s="173">
        <v>24</v>
      </c>
      <c r="B97" s="174" t="s">
        <v>214</v>
      </c>
      <c r="C97" s="173">
        <v>4.5</v>
      </c>
      <c r="D97" s="176">
        <v>6</v>
      </c>
      <c r="E97" s="175"/>
      <c r="G97" s="193">
        <v>4.5</v>
      </c>
      <c r="H97" s="192" t="str">
        <f t="shared" si="1"/>
        <v>=4.5</v>
      </c>
      <c r="I97" s="156">
        <f>4.5</f>
        <v>4.5</v>
      </c>
    </row>
    <row r="98" spans="1:9" ht="15.75" customHeight="1">
      <c r="A98" s="173">
        <v>25</v>
      </c>
      <c r="B98" s="174" t="s">
        <v>214</v>
      </c>
      <c r="C98" s="173">
        <v>4.3</v>
      </c>
      <c r="D98" s="176">
        <v>4.5</v>
      </c>
      <c r="E98" s="175"/>
      <c r="G98" s="193">
        <v>4.3</v>
      </c>
      <c r="H98" s="192" t="str">
        <f t="shared" si="1"/>
        <v>=4.3</v>
      </c>
      <c r="I98" s="156">
        <f>4.3</f>
        <v>4.3</v>
      </c>
    </row>
    <row r="99" spans="1:9" ht="15.75" customHeight="1">
      <c r="A99" s="173">
        <v>26</v>
      </c>
      <c r="B99" s="174" t="s">
        <v>214</v>
      </c>
      <c r="C99" s="173">
        <v>4.7</v>
      </c>
      <c r="D99" s="176">
        <v>5</v>
      </c>
      <c r="E99" s="175"/>
      <c r="G99" s="193">
        <v>4.7</v>
      </c>
      <c r="H99" s="192" t="str">
        <f t="shared" si="1"/>
        <v>=4.7</v>
      </c>
      <c r="I99" s="156">
        <f>4.7</f>
        <v>4.7</v>
      </c>
    </row>
    <row r="100" spans="1:9" ht="15.75" customHeight="1">
      <c r="A100" s="173">
        <v>27</v>
      </c>
      <c r="B100" s="174" t="s">
        <v>214</v>
      </c>
      <c r="C100" s="173">
        <v>4.7</v>
      </c>
      <c r="D100" s="176">
        <v>6</v>
      </c>
      <c r="E100" s="175"/>
      <c r="G100" s="193">
        <v>4.7</v>
      </c>
      <c r="H100" s="192" t="str">
        <f t="shared" si="1"/>
        <v>=4.7</v>
      </c>
      <c r="I100" s="156">
        <f>4.7</f>
        <v>4.7</v>
      </c>
    </row>
    <row r="101" spans="1:9" ht="15.75" customHeight="1">
      <c r="A101" s="173">
        <v>28</v>
      </c>
      <c r="B101" s="174" t="s">
        <v>280</v>
      </c>
      <c r="C101" s="173">
        <v>4.7</v>
      </c>
      <c r="D101" s="176">
        <v>6.2</v>
      </c>
      <c r="E101" s="175"/>
      <c r="G101" s="193">
        <v>4.7</v>
      </c>
      <c r="H101" s="192" t="str">
        <f t="shared" si="1"/>
        <v>=4.7</v>
      </c>
      <c r="I101" s="156">
        <f>4.7</f>
        <v>4.7</v>
      </c>
    </row>
    <row r="102" spans="1:9" ht="15.75" customHeight="1">
      <c r="A102" s="173">
        <v>29</v>
      </c>
      <c r="B102" s="174" t="s">
        <v>280</v>
      </c>
      <c r="C102" s="173">
        <v>7</v>
      </c>
      <c r="D102" s="176">
        <v>7.2</v>
      </c>
      <c r="E102" s="175"/>
      <c r="G102" s="193">
        <v>7</v>
      </c>
      <c r="H102" s="192" t="str">
        <f t="shared" si="1"/>
        <v>=7</v>
      </c>
      <c r="I102" s="156">
        <f>7</f>
        <v>7</v>
      </c>
    </row>
    <row r="103" spans="1:9" ht="15.75" customHeight="1">
      <c r="A103" s="173">
        <v>30</v>
      </c>
      <c r="B103" s="174" t="s">
        <v>280</v>
      </c>
      <c r="C103" s="173">
        <v>6</v>
      </c>
      <c r="D103" s="176">
        <v>7</v>
      </c>
      <c r="E103" s="175"/>
      <c r="G103" s="193">
        <v>6</v>
      </c>
      <c r="H103" s="192" t="str">
        <f t="shared" si="1"/>
        <v>=6</v>
      </c>
      <c r="I103" s="156">
        <f>6</f>
        <v>6</v>
      </c>
    </row>
    <row r="104" spans="1:9" ht="15.75" customHeight="1">
      <c r="A104" s="173">
        <v>31</v>
      </c>
      <c r="B104" s="174" t="s">
        <v>280</v>
      </c>
      <c r="C104" s="173">
        <v>8.9</v>
      </c>
      <c r="D104" s="176">
        <v>6</v>
      </c>
      <c r="E104" s="175"/>
      <c r="G104" s="193">
        <v>8.9</v>
      </c>
      <c r="H104" s="192" t="str">
        <f t="shared" si="1"/>
        <v>=8.9</v>
      </c>
      <c r="I104" s="156">
        <f>8.9</f>
        <v>8.9</v>
      </c>
    </row>
    <row r="105" spans="1:9" ht="15.75" customHeight="1">
      <c r="A105" s="173">
        <v>32</v>
      </c>
      <c r="B105" s="174" t="s">
        <v>280</v>
      </c>
      <c r="C105" s="173">
        <v>8.9</v>
      </c>
      <c r="D105" s="176">
        <v>8</v>
      </c>
      <c r="E105" s="175"/>
      <c r="G105" s="193">
        <v>8.9</v>
      </c>
      <c r="H105" s="192" t="str">
        <f t="shared" si="1"/>
        <v>=8.9</v>
      </c>
      <c r="I105" s="156">
        <f>8.9</f>
        <v>8.9</v>
      </c>
    </row>
    <row r="106" spans="1:9" ht="15.75" customHeight="1">
      <c r="A106" s="173">
        <v>33</v>
      </c>
      <c r="B106" s="174" t="s">
        <v>280</v>
      </c>
      <c r="C106" s="173">
        <v>9.5</v>
      </c>
      <c r="D106" s="176">
        <v>4</v>
      </c>
      <c r="E106" s="175"/>
      <c r="G106" s="193" t="s">
        <v>423</v>
      </c>
      <c r="H106" s="192" t="str">
        <f t="shared" si="1"/>
        <v>=5+4.5</v>
      </c>
      <c r="I106" s="156">
        <f>5+4.5</f>
        <v>9.5</v>
      </c>
    </row>
    <row r="107" spans="1:9" ht="15.75" customHeight="1">
      <c r="A107" s="173">
        <v>34</v>
      </c>
      <c r="B107" s="174" t="s">
        <v>280</v>
      </c>
      <c r="C107" s="173">
        <v>11.5</v>
      </c>
      <c r="D107" s="176">
        <v>7.2</v>
      </c>
      <c r="E107" s="175"/>
      <c r="G107" s="193" t="s">
        <v>424</v>
      </c>
      <c r="H107" s="192" t="str">
        <f t="shared" si="1"/>
        <v>=7+4.5</v>
      </c>
      <c r="I107" s="156">
        <f>7+4.5</f>
        <v>11.5</v>
      </c>
    </row>
    <row r="108" spans="1:9" ht="15.75" customHeight="1">
      <c r="A108" s="173">
        <v>35</v>
      </c>
      <c r="B108" s="174" t="s">
        <v>220</v>
      </c>
      <c r="C108" s="173">
        <v>18.8</v>
      </c>
      <c r="D108" s="176">
        <v>6.9</v>
      </c>
      <c r="E108" s="175"/>
      <c r="G108" s="193" t="s">
        <v>425</v>
      </c>
      <c r="H108" s="192" t="str">
        <f t="shared" si="1"/>
        <v>=8.3+5.7+4.8</v>
      </c>
      <c r="I108" s="156">
        <f>8.3+5.7+4.8</f>
        <v>18.8</v>
      </c>
    </row>
    <row r="109" spans="1:9" ht="15.75" customHeight="1">
      <c r="A109" s="173">
        <v>36</v>
      </c>
      <c r="B109" s="174" t="s">
        <v>218</v>
      </c>
      <c r="C109" s="173">
        <v>4.4000000000000004</v>
      </c>
      <c r="D109" s="176">
        <v>5.8</v>
      </c>
      <c r="E109" s="175"/>
      <c r="G109" s="193">
        <v>4.4000000000000004</v>
      </c>
      <c r="H109" s="192" t="str">
        <f t="shared" si="1"/>
        <v>=4.4</v>
      </c>
      <c r="I109" s="156">
        <f>4.4</f>
        <v>4.4000000000000004</v>
      </c>
    </row>
    <row r="110" spans="1:9" ht="15.75" customHeight="1">
      <c r="A110" s="173">
        <v>37</v>
      </c>
      <c r="B110" s="174" t="s">
        <v>218</v>
      </c>
      <c r="C110" s="173">
        <v>7</v>
      </c>
      <c r="D110" s="176">
        <v>6</v>
      </c>
      <c r="E110" s="175"/>
      <c r="G110" s="193">
        <v>7</v>
      </c>
      <c r="H110" s="192" t="str">
        <f t="shared" si="1"/>
        <v>=7</v>
      </c>
      <c r="I110" s="156">
        <f>7</f>
        <v>7</v>
      </c>
    </row>
    <row r="111" spans="1:9" ht="15.75" customHeight="1">
      <c r="A111" s="173">
        <v>38</v>
      </c>
      <c r="B111" s="174" t="s">
        <v>218</v>
      </c>
      <c r="C111" s="173">
        <v>7.6</v>
      </c>
      <c r="D111" s="176">
        <v>9</v>
      </c>
      <c r="E111" s="175"/>
      <c r="G111" s="193">
        <v>7.6</v>
      </c>
      <c r="H111" s="192" t="str">
        <f t="shared" si="1"/>
        <v>=7.6</v>
      </c>
      <c r="I111" s="156">
        <f>7.6</f>
        <v>7.6</v>
      </c>
    </row>
    <row r="112" spans="1:9" ht="15.75" customHeight="1">
      <c r="A112" s="173">
        <v>39</v>
      </c>
      <c r="B112" s="174" t="s">
        <v>218</v>
      </c>
      <c r="C112" s="173">
        <v>7.6</v>
      </c>
      <c r="D112" s="176">
        <v>6.8</v>
      </c>
      <c r="E112" s="175"/>
      <c r="G112" s="193">
        <v>7.6</v>
      </c>
      <c r="H112" s="192" t="str">
        <f t="shared" si="1"/>
        <v>=7.6</v>
      </c>
      <c r="I112" s="156">
        <f>7.6</f>
        <v>7.6</v>
      </c>
    </row>
    <row r="113" spans="1:9" ht="15.75" customHeight="1">
      <c r="A113" s="173">
        <v>40</v>
      </c>
      <c r="B113" s="174" t="s">
        <v>218</v>
      </c>
      <c r="C113" s="173">
        <v>8.1</v>
      </c>
      <c r="D113" s="176">
        <v>6</v>
      </c>
      <c r="E113" s="175"/>
      <c r="G113" s="193">
        <v>8.1</v>
      </c>
      <c r="H113" s="192" t="str">
        <f t="shared" si="1"/>
        <v>=8.1</v>
      </c>
      <c r="I113" s="156">
        <f>8.1</f>
        <v>8.1</v>
      </c>
    </row>
    <row r="114" spans="1:9" ht="15.75" customHeight="1">
      <c r="A114" s="173">
        <v>41</v>
      </c>
      <c r="B114" s="174" t="s">
        <v>218</v>
      </c>
      <c r="C114" s="173">
        <v>8.6999999999999993</v>
      </c>
      <c r="D114" s="176">
        <v>6.5</v>
      </c>
      <c r="E114" s="175"/>
      <c r="G114" s="193">
        <v>8.6999999999999993</v>
      </c>
      <c r="H114" s="192" t="str">
        <f t="shared" si="1"/>
        <v>=8.7</v>
      </c>
      <c r="I114" s="156">
        <f>8.7</f>
        <v>8.6999999999999993</v>
      </c>
    </row>
    <row r="115" spans="1:9" ht="15.75" customHeight="1">
      <c r="A115" s="173">
        <v>42</v>
      </c>
      <c r="B115" s="174" t="s">
        <v>218</v>
      </c>
      <c r="C115" s="173">
        <v>8.8000000000000007</v>
      </c>
      <c r="D115" s="176">
        <v>9</v>
      </c>
      <c r="E115" s="175"/>
      <c r="G115" s="193">
        <v>8.8000000000000007</v>
      </c>
      <c r="H115" s="192" t="str">
        <f t="shared" si="1"/>
        <v>=8.8</v>
      </c>
      <c r="I115" s="156">
        <f>8.8</f>
        <v>8.8000000000000007</v>
      </c>
    </row>
    <row r="116" spans="1:9" ht="15.75" customHeight="1">
      <c r="A116" s="173">
        <v>43</v>
      </c>
      <c r="B116" s="174" t="s">
        <v>218</v>
      </c>
      <c r="C116" s="173">
        <v>8.9</v>
      </c>
      <c r="D116" s="176">
        <v>6</v>
      </c>
      <c r="E116" s="175"/>
      <c r="G116" s="193">
        <v>8.9</v>
      </c>
      <c r="H116" s="192" t="str">
        <f t="shared" si="1"/>
        <v>=8.9</v>
      </c>
      <c r="I116" s="156">
        <f>8.9</f>
        <v>8.9</v>
      </c>
    </row>
    <row r="117" spans="1:9" ht="15.75" customHeight="1">
      <c r="A117" s="173">
        <v>44</v>
      </c>
      <c r="B117" s="174" t="s">
        <v>218</v>
      </c>
      <c r="C117" s="173">
        <v>9.5</v>
      </c>
      <c r="D117" s="176">
        <v>6.8</v>
      </c>
      <c r="E117" s="175"/>
      <c r="G117" s="193">
        <v>9.5</v>
      </c>
      <c r="H117" s="192" t="str">
        <f t="shared" si="1"/>
        <v>=9.5</v>
      </c>
      <c r="I117" s="156">
        <f>9.5</f>
        <v>9.5</v>
      </c>
    </row>
    <row r="118" spans="1:9" ht="15.75" customHeight="1">
      <c r="A118" s="173">
        <v>45</v>
      </c>
      <c r="B118" s="174" t="s">
        <v>218</v>
      </c>
      <c r="C118" s="173">
        <v>10.4</v>
      </c>
      <c r="D118" s="176">
        <v>8.1999999999999993</v>
      </c>
      <c r="E118" s="175"/>
      <c r="G118" s="193">
        <v>10.4</v>
      </c>
      <c r="H118" s="192" t="str">
        <f t="shared" si="1"/>
        <v>=10.4</v>
      </c>
      <c r="I118" s="156">
        <f>10.4</f>
        <v>10.4</v>
      </c>
    </row>
    <row r="119" spans="1:9" ht="15.75" customHeight="1">
      <c r="A119" s="173">
        <v>46</v>
      </c>
      <c r="B119" s="174" t="s">
        <v>218</v>
      </c>
      <c r="C119" s="173">
        <v>11.1</v>
      </c>
      <c r="D119" s="176">
        <v>10</v>
      </c>
      <c r="E119" s="175"/>
      <c r="G119" s="193">
        <v>11.1</v>
      </c>
      <c r="H119" s="192" t="str">
        <f t="shared" si="1"/>
        <v>=11.1</v>
      </c>
      <c r="I119" s="156">
        <f>11.1</f>
        <v>11.1</v>
      </c>
    </row>
    <row r="120" spans="1:9" ht="15.75" customHeight="1">
      <c r="A120" s="173">
        <v>47</v>
      </c>
      <c r="B120" s="174" t="s">
        <v>218</v>
      </c>
      <c r="C120" s="173">
        <v>12</v>
      </c>
      <c r="D120" s="176">
        <v>9</v>
      </c>
      <c r="E120" s="175"/>
      <c r="G120" s="193">
        <v>12</v>
      </c>
      <c r="H120" s="192" t="str">
        <f t="shared" si="1"/>
        <v>=12</v>
      </c>
      <c r="I120" s="156">
        <f>12</f>
        <v>12</v>
      </c>
    </row>
    <row r="121" spans="1:9" ht="15.75" customHeight="1">
      <c r="A121" s="173">
        <v>48</v>
      </c>
      <c r="B121" s="174" t="s">
        <v>218</v>
      </c>
      <c r="C121" s="173">
        <v>12.7</v>
      </c>
      <c r="D121" s="176">
        <v>8.9</v>
      </c>
      <c r="E121" s="175"/>
      <c r="G121" s="193">
        <v>12.7</v>
      </c>
      <c r="H121" s="192" t="str">
        <f t="shared" si="1"/>
        <v>=12.7</v>
      </c>
      <c r="I121" s="156">
        <f>12.7</f>
        <v>12.7</v>
      </c>
    </row>
    <row r="122" spans="1:9" ht="15.75" customHeight="1">
      <c r="A122" s="173">
        <v>49</v>
      </c>
      <c r="B122" s="174" t="s">
        <v>218</v>
      </c>
      <c r="C122" s="173">
        <v>13.2</v>
      </c>
      <c r="D122" s="176">
        <v>9</v>
      </c>
      <c r="E122" s="175"/>
      <c r="G122" s="193">
        <v>13.2</v>
      </c>
      <c r="H122" s="192" t="str">
        <f t="shared" si="1"/>
        <v>=13.2</v>
      </c>
      <c r="I122" s="156">
        <f>13.2</f>
        <v>13.2</v>
      </c>
    </row>
    <row r="123" spans="1:9" ht="15.75" customHeight="1">
      <c r="A123" s="173">
        <v>50</v>
      </c>
      <c r="B123" s="174" t="s">
        <v>218</v>
      </c>
      <c r="C123" s="173">
        <v>13.6</v>
      </c>
      <c r="D123" s="176">
        <v>7.2</v>
      </c>
      <c r="E123" s="175"/>
      <c r="G123" s="193">
        <v>13.6</v>
      </c>
      <c r="H123" s="192" t="str">
        <f t="shared" si="1"/>
        <v>=13.6</v>
      </c>
      <c r="I123" s="156">
        <f>13.6</f>
        <v>13.6</v>
      </c>
    </row>
    <row r="124" spans="1:9" ht="15.75" customHeight="1">
      <c r="A124" s="173">
        <v>51</v>
      </c>
      <c r="B124" s="174" t="s">
        <v>218</v>
      </c>
      <c r="C124" s="173">
        <v>14.3</v>
      </c>
      <c r="D124" s="176">
        <v>10</v>
      </c>
      <c r="E124" s="175"/>
      <c r="G124" s="193">
        <v>14.3</v>
      </c>
      <c r="H124" s="192" t="str">
        <f t="shared" si="1"/>
        <v>=14.3</v>
      </c>
      <c r="I124" s="156">
        <f>14.3</f>
        <v>14.3</v>
      </c>
    </row>
    <row r="125" spans="1:9" ht="15.75" customHeight="1">
      <c r="A125" s="173">
        <v>52</v>
      </c>
      <c r="B125" s="174" t="s">
        <v>218</v>
      </c>
      <c r="C125" s="173">
        <v>15.1</v>
      </c>
      <c r="D125" s="176">
        <v>9</v>
      </c>
      <c r="E125" s="175"/>
      <c r="G125" s="193">
        <v>15.1</v>
      </c>
      <c r="H125" s="192" t="str">
        <f t="shared" si="1"/>
        <v>=15.1</v>
      </c>
      <c r="I125" s="156">
        <f>15.1</f>
        <v>15.1</v>
      </c>
    </row>
    <row r="126" spans="1:9" ht="15.75" customHeight="1">
      <c r="A126" s="173">
        <v>53</v>
      </c>
      <c r="B126" s="174" t="s">
        <v>218</v>
      </c>
      <c r="C126" s="173">
        <v>15.9</v>
      </c>
      <c r="D126" s="176">
        <v>9.1999999999999993</v>
      </c>
      <c r="E126" s="175"/>
      <c r="G126" s="193">
        <v>15.9</v>
      </c>
      <c r="H126" s="192" t="str">
        <f t="shared" si="1"/>
        <v>=15.9</v>
      </c>
      <c r="I126" s="156">
        <f>15.9</f>
        <v>15.9</v>
      </c>
    </row>
    <row r="127" spans="1:9" ht="15.75" customHeight="1">
      <c r="A127" s="173">
        <v>54</v>
      </c>
      <c r="B127" s="174" t="s">
        <v>218</v>
      </c>
      <c r="C127" s="173">
        <v>16.100000000000001</v>
      </c>
      <c r="D127" s="176">
        <v>10</v>
      </c>
      <c r="E127" s="175"/>
      <c r="G127" s="193">
        <v>16.100000000000001</v>
      </c>
      <c r="H127" s="192" t="str">
        <f t="shared" si="1"/>
        <v>=16.1</v>
      </c>
      <c r="I127" s="156">
        <f>16.1</f>
        <v>16.100000000000001</v>
      </c>
    </row>
    <row r="128" spans="1:9" ht="15.75" customHeight="1">
      <c r="A128" s="173">
        <v>55</v>
      </c>
      <c r="B128" s="174" t="s">
        <v>218</v>
      </c>
      <c r="C128" s="173">
        <v>16.8</v>
      </c>
      <c r="D128" s="176">
        <v>10.5</v>
      </c>
      <c r="E128" s="175"/>
      <c r="G128" s="193">
        <v>16.8</v>
      </c>
      <c r="H128" s="192" t="str">
        <f t="shared" si="1"/>
        <v>=16.8</v>
      </c>
      <c r="I128" s="156">
        <f>16.8</f>
        <v>16.8</v>
      </c>
    </row>
    <row r="129" spans="1:9" ht="15.75" customHeight="1">
      <c r="A129" s="173">
        <v>56</v>
      </c>
      <c r="B129" s="174" t="s">
        <v>218</v>
      </c>
      <c r="C129" s="173">
        <v>17.2</v>
      </c>
      <c r="D129" s="176">
        <v>10.5</v>
      </c>
      <c r="E129" s="175"/>
      <c r="G129" s="193">
        <v>17.2</v>
      </c>
      <c r="H129" s="192" t="str">
        <f t="shared" si="1"/>
        <v>=17.2</v>
      </c>
      <c r="I129" s="156">
        <f>17.2</f>
        <v>17.2</v>
      </c>
    </row>
    <row r="130" spans="1:9" ht="15.75" customHeight="1">
      <c r="A130" s="173">
        <v>57</v>
      </c>
      <c r="B130" s="174" t="s">
        <v>218</v>
      </c>
      <c r="C130" s="173">
        <v>25.7</v>
      </c>
      <c r="D130" s="176">
        <v>7.2</v>
      </c>
      <c r="E130" s="175"/>
      <c r="G130" s="193" t="s">
        <v>426</v>
      </c>
      <c r="H130" s="192" t="str">
        <f t="shared" si="1"/>
        <v>=10+8.5+7.2</v>
      </c>
      <c r="I130" s="156">
        <f>10+8.5+7.2</f>
        <v>25.7</v>
      </c>
    </row>
    <row r="131" spans="1:9" ht="15.75" customHeight="1">
      <c r="A131" s="173">
        <v>58</v>
      </c>
      <c r="B131" s="174" t="s">
        <v>284</v>
      </c>
      <c r="C131" s="173">
        <v>8</v>
      </c>
      <c r="D131" s="176">
        <v>8.1999999999999993</v>
      </c>
      <c r="E131" s="175"/>
      <c r="G131" s="193">
        <v>8</v>
      </c>
      <c r="H131" s="192" t="str">
        <f t="shared" si="1"/>
        <v>=8</v>
      </c>
      <c r="I131" s="156">
        <f>8</f>
        <v>8</v>
      </c>
    </row>
    <row r="132" spans="1:9" ht="15.75" customHeight="1">
      <c r="A132" s="173">
        <v>59</v>
      </c>
      <c r="B132" s="174" t="s">
        <v>218</v>
      </c>
      <c r="C132" s="176" t="s">
        <v>460</v>
      </c>
      <c r="D132" s="173" t="s">
        <v>460</v>
      </c>
      <c r="E132" s="175"/>
      <c r="G132" s="193">
        <v>4.4000000000000004</v>
      </c>
      <c r="H132" s="192" t="str">
        <f t="shared" si="1"/>
        <v>=4.4</v>
      </c>
      <c r="I132" s="156">
        <f>4.4</f>
        <v>4.4000000000000004</v>
      </c>
    </row>
    <row r="133" spans="1:9" ht="15.75" customHeight="1">
      <c r="A133" s="173">
        <v>60</v>
      </c>
      <c r="B133" s="174" t="s">
        <v>218</v>
      </c>
      <c r="C133" s="176" t="s">
        <v>460</v>
      </c>
      <c r="D133" s="173" t="s">
        <v>460</v>
      </c>
      <c r="E133" s="175"/>
      <c r="G133" s="193">
        <v>5</v>
      </c>
      <c r="H133" s="192" t="str">
        <f t="shared" si="1"/>
        <v>=5</v>
      </c>
      <c r="I133" s="156">
        <f>5</f>
        <v>5</v>
      </c>
    </row>
    <row r="134" spans="1:9" ht="15.75" customHeight="1">
      <c r="A134" s="173">
        <v>61</v>
      </c>
      <c r="B134" s="174" t="s">
        <v>218</v>
      </c>
      <c r="C134" s="176" t="s">
        <v>460</v>
      </c>
      <c r="D134" s="173" t="s">
        <v>460</v>
      </c>
      <c r="E134" s="175"/>
      <c r="G134" s="193">
        <v>5.5</v>
      </c>
      <c r="H134" s="192" t="str">
        <f t="shared" si="1"/>
        <v>=5.5</v>
      </c>
      <c r="I134" s="156">
        <f>5.5</f>
        <v>5.5</v>
      </c>
    </row>
    <row r="135" spans="1:9" ht="15.75" customHeight="1">
      <c r="A135" s="173">
        <v>62</v>
      </c>
      <c r="B135" s="174" t="s">
        <v>218</v>
      </c>
      <c r="C135" s="176" t="s">
        <v>460</v>
      </c>
      <c r="D135" s="173" t="s">
        <v>460</v>
      </c>
      <c r="E135" s="175"/>
      <c r="G135" s="193">
        <v>6.6</v>
      </c>
      <c r="H135" s="192" t="str">
        <f t="shared" si="1"/>
        <v>=6.6</v>
      </c>
      <c r="I135" s="156">
        <f>6.6</f>
        <v>6.6</v>
      </c>
    </row>
    <row r="136" spans="1:9" ht="15.75" customHeight="1">
      <c r="A136" s="173">
        <v>63</v>
      </c>
      <c r="B136" s="174" t="s">
        <v>218</v>
      </c>
      <c r="C136" s="176" t="s">
        <v>460</v>
      </c>
      <c r="D136" s="173" t="s">
        <v>460</v>
      </c>
      <c r="E136" s="175"/>
      <c r="G136" s="193">
        <v>6.9</v>
      </c>
      <c r="H136" s="192" t="str">
        <f t="shared" si="1"/>
        <v>=6.9</v>
      </c>
      <c r="I136" s="156">
        <f>6.9</f>
        <v>6.9</v>
      </c>
    </row>
    <row r="137" spans="1:9" ht="15.75" customHeight="1">
      <c r="A137" s="173">
        <v>64</v>
      </c>
      <c r="B137" s="174" t="s">
        <v>218</v>
      </c>
      <c r="C137" s="176" t="s">
        <v>460</v>
      </c>
      <c r="D137" s="173" t="s">
        <v>460</v>
      </c>
      <c r="E137" s="175"/>
      <c r="G137" s="193">
        <v>7.3</v>
      </c>
      <c r="H137" s="192" t="str">
        <f t="shared" si="1"/>
        <v>=7.3</v>
      </c>
      <c r="I137" s="156">
        <f>7.3</f>
        <v>7.3</v>
      </c>
    </row>
    <row r="138" spans="1:9" ht="15.75" customHeight="1">
      <c r="A138" s="173">
        <v>65</v>
      </c>
      <c r="B138" s="174" t="s">
        <v>218</v>
      </c>
      <c r="C138" s="176" t="s">
        <v>460</v>
      </c>
      <c r="D138" s="173" t="s">
        <v>460</v>
      </c>
      <c r="E138" s="175"/>
      <c r="G138" s="193">
        <v>9.3000000000000007</v>
      </c>
      <c r="H138" s="192" t="str">
        <f t="shared" ref="H138:H139" si="2">"="&amp;G138</f>
        <v>=9.3</v>
      </c>
      <c r="I138" s="156">
        <f>9.3</f>
        <v>9.3000000000000007</v>
      </c>
    </row>
    <row r="139" spans="1:9" ht="15.75" customHeight="1">
      <c r="A139" s="173">
        <v>66</v>
      </c>
      <c r="B139" s="174" t="s">
        <v>218</v>
      </c>
      <c r="C139" s="176" t="s">
        <v>460</v>
      </c>
      <c r="D139" s="173" t="s">
        <v>460</v>
      </c>
      <c r="E139" s="175"/>
      <c r="G139" s="193">
        <v>17.600000000000001</v>
      </c>
      <c r="H139" s="192" t="str">
        <f t="shared" si="2"/>
        <v>=17.6</v>
      </c>
      <c r="I139" s="156">
        <f>17.6</f>
        <v>17.600000000000001</v>
      </c>
    </row>
    <row r="140" spans="1:9" ht="15.75" customHeight="1">
      <c r="A140" s="164"/>
      <c r="B140" s="165"/>
      <c r="C140" s="166"/>
      <c r="D140" s="166"/>
      <c r="E140" s="167"/>
    </row>
    <row r="141" spans="1:9" ht="15.75" customHeight="1">
      <c r="A141" s="168"/>
      <c r="B141" s="177"/>
      <c r="C141" s="170"/>
      <c r="D141" s="170"/>
      <c r="E141" s="171"/>
    </row>
    <row r="142" spans="1:9" ht="15.75" customHeight="1">
      <c r="A142" s="248" t="s">
        <v>246</v>
      </c>
      <c r="B142" s="249"/>
      <c r="C142" s="249"/>
      <c r="D142" s="249"/>
      <c r="E142" s="249"/>
    </row>
    <row r="143" spans="1:9" ht="15.75" customHeight="1">
      <c r="A143" s="248" t="s">
        <v>247</v>
      </c>
      <c r="B143" s="249"/>
      <c r="C143" s="249"/>
      <c r="D143" s="249"/>
      <c r="E143" s="249"/>
    </row>
    <row r="144" spans="1:9" ht="30">
      <c r="A144" s="162" t="s">
        <v>248</v>
      </c>
      <c r="B144" s="162" t="s">
        <v>249</v>
      </c>
      <c r="C144" s="163" t="s">
        <v>250</v>
      </c>
      <c r="D144" s="163" t="s">
        <v>251</v>
      </c>
      <c r="E144" s="162" t="s">
        <v>252</v>
      </c>
    </row>
    <row r="145" spans="1:8" ht="15.75" customHeight="1">
      <c r="A145" s="173">
        <v>1</v>
      </c>
      <c r="B145" s="174" t="s">
        <v>218</v>
      </c>
      <c r="C145" s="176">
        <v>29.2</v>
      </c>
      <c r="D145" s="173">
        <v>12.5</v>
      </c>
      <c r="E145" s="175"/>
    </row>
    <row r="146" spans="1:8" ht="15.75" customHeight="1">
      <c r="A146" s="173">
        <v>2</v>
      </c>
      <c r="B146" s="174" t="s">
        <v>218</v>
      </c>
      <c r="C146" s="176">
        <v>25.8</v>
      </c>
      <c r="D146" s="173">
        <v>10.5</v>
      </c>
      <c r="E146" s="175"/>
    </row>
    <row r="147" spans="1:8" ht="15.75" customHeight="1">
      <c r="A147" s="173">
        <v>3</v>
      </c>
      <c r="B147" s="174" t="s">
        <v>218</v>
      </c>
      <c r="C147" s="176">
        <v>24.5</v>
      </c>
      <c r="D147" s="173">
        <v>12.5</v>
      </c>
      <c r="E147" s="175"/>
    </row>
    <row r="148" spans="1:8" ht="15.75" customHeight="1">
      <c r="A148" s="173">
        <v>4</v>
      </c>
      <c r="B148" s="174" t="s">
        <v>218</v>
      </c>
      <c r="C148" s="176">
        <v>22.9</v>
      </c>
      <c r="D148" s="173">
        <v>9.5</v>
      </c>
      <c r="E148" s="175"/>
    </row>
    <row r="149" spans="1:8" ht="15.75" customHeight="1">
      <c r="A149" s="173">
        <v>5</v>
      </c>
      <c r="B149" s="174" t="s">
        <v>218</v>
      </c>
      <c r="C149" s="176">
        <v>22</v>
      </c>
      <c r="D149" s="173">
        <v>11.5</v>
      </c>
      <c r="E149" s="175"/>
    </row>
    <row r="150" spans="1:8" ht="15.75" customHeight="1">
      <c r="A150" s="173">
        <v>6</v>
      </c>
      <c r="B150" s="174" t="s">
        <v>218</v>
      </c>
      <c r="C150" s="176">
        <v>21.8</v>
      </c>
      <c r="D150" s="173">
        <v>10.8</v>
      </c>
      <c r="E150" s="175"/>
    </row>
    <row r="151" spans="1:8" ht="15.75" customHeight="1">
      <c r="A151" s="173">
        <v>7</v>
      </c>
      <c r="B151" s="174" t="s">
        <v>218</v>
      </c>
      <c r="C151" s="176">
        <v>21.6</v>
      </c>
      <c r="D151" s="173">
        <v>12.3</v>
      </c>
      <c r="E151" s="175"/>
    </row>
    <row r="152" spans="1:8" ht="15.75" customHeight="1">
      <c r="A152" s="173">
        <v>8</v>
      </c>
      <c r="B152" s="174" t="s">
        <v>218</v>
      </c>
      <c r="C152" s="176">
        <v>21</v>
      </c>
      <c r="D152" s="173">
        <v>14</v>
      </c>
      <c r="E152" s="175"/>
    </row>
    <row r="153" spans="1:8" ht="15.75" customHeight="1">
      <c r="A153" s="173">
        <v>9</v>
      </c>
      <c r="B153" s="174" t="s">
        <v>218</v>
      </c>
      <c r="C153" s="176">
        <v>20</v>
      </c>
      <c r="D153" s="173">
        <v>10.3</v>
      </c>
      <c r="E153" s="175"/>
    </row>
    <row r="154" spans="1:8" ht="15.75" customHeight="1">
      <c r="A154" s="173">
        <v>10</v>
      </c>
      <c r="B154" s="174" t="s">
        <v>218</v>
      </c>
      <c r="C154" s="176">
        <v>19.100000000000001</v>
      </c>
      <c r="D154" s="173">
        <v>11.8</v>
      </c>
      <c r="E154" s="175"/>
    </row>
    <row r="155" spans="1:8" ht="15.75" customHeight="1">
      <c r="A155" s="173">
        <v>11</v>
      </c>
      <c r="B155" s="174" t="s">
        <v>218</v>
      </c>
      <c r="C155" s="176">
        <v>18.600000000000001</v>
      </c>
      <c r="D155" s="173">
        <v>10</v>
      </c>
      <c r="E155" s="175"/>
    </row>
    <row r="156" spans="1:8" s="179" customFormat="1" ht="15.75" customHeight="1">
      <c r="A156" s="178"/>
      <c r="B156" s="165"/>
      <c r="C156" s="166"/>
      <c r="D156" s="167"/>
      <c r="E156" s="167"/>
      <c r="G156" s="194"/>
      <c r="H156" s="194"/>
    </row>
    <row r="157" spans="1:8" s="179" customFormat="1" ht="15.75" customHeight="1">
      <c r="A157" s="180"/>
      <c r="B157" s="169"/>
      <c r="C157" s="170"/>
      <c r="D157" s="171"/>
      <c r="E157" s="171"/>
      <c r="G157" s="194"/>
      <c r="H157" s="194"/>
    </row>
    <row r="158" spans="1:8" s="179" customFormat="1" ht="15.75" customHeight="1">
      <c r="A158" s="180"/>
      <c r="B158" s="169"/>
      <c r="C158" s="170"/>
      <c r="D158" s="171"/>
      <c r="E158" s="171"/>
      <c r="G158" s="194"/>
      <c r="H158" s="194"/>
    </row>
    <row r="159" spans="1:8" s="179" customFormat="1" ht="15.75" customHeight="1">
      <c r="A159" s="180"/>
      <c r="B159" s="169"/>
      <c r="C159" s="170"/>
      <c r="D159" s="171"/>
      <c r="E159" s="171"/>
      <c r="G159" s="194"/>
      <c r="H159" s="194"/>
    </row>
    <row r="160" spans="1:8" s="179" customFormat="1" ht="15.75" customHeight="1">
      <c r="A160" s="180"/>
      <c r="B160" s="169"/>
      <c r="C160" s="170"/>
      <c r="D160" s="171"/>
      <c r="E160" s="171"/>
      <c r="G160" s="194"/>
      <c r="H160" s="194"/>
    </row>
    <row r="161" spans="1:8" s="179" customFormat="1" ht="15.75" customHeight="1">
      <c r="A161" s="180"/>
      <c r="B161" s="169"/>
      <c r="C161" s="181"/>
      <c r="D161" s="182"/>
      <c r="E161" s="171"/>
      <c r="G161" s="194"/>
      <c r="H161" s="194"/>
    </row>
    <row r="162" spans="1:8" s="179" customFormat="1" ht="15.75" customHeight="1">
      <c r="A162" s="180"/>
      <c r="B162" s="169"/>
      <c r="C162" s="170"/>
      <c r="D162" s="171"/>
      <c r="E162" s="171"/>
      <c r="G162" s="194"/>
      <c r="H162" s="194"/>
    </row>
    <row r="163" spans="1:8" s="179" customFormat="1" ht="15.75" customHeight="1">
      <c r="A163" s="180"/>
      <c r="B163" s="169"/>
      <c r="C163" s="170"/>
      <c r="D163" s="171"/>
      <c r="E163" s="171"/>
      <c r="G163" s="194"/>
      <c r="H163" s="194"/>
    </row>
    <row r="164" spans="1:8" s="179" customFormat="1" ht="15.75" customHeight="1">
      <c r="A164" s="180"/>
      <c r="B164" s="169"/>
      <c r="C164" s="170"/>
      <c r="D164" s="171"/>
      <c r="E164" s="171"/>
      <c r="G164" s="194"/>
      <c r="H164" s="194"/>
    </row>
    <row r="165" spans="1:8" ht="15.75" customHeight="1">
      <c r="A165" s="177"/>
      <c r="B165" s="171"/>
      <c r="C165" s="171"/>
      <c r="D165" s="171"/>
      <c r="E165" s="171"/>
    </row>
  </sheetData>
  <mergeCells count="5">
    <mergeCell ref="A4:E5"/>
    <mergeCell ref="A71:E71"/>
    <mergeCell ref="A72:E72"/>
    <mergeCell ref="A142:E142"/>
    <mergeCell ref="A143:E143"/>
  </mergeCells>
  <phoneticPr fontId="5"/>
  <pageMargins left="0.70866141732283472" right="0.70866141732283472" top="0.74803149606299213" bottom="0.74803149606299213" header="0.31496062992125984" footer="0.31496062992125984"/>
  <pageSetup paperSize="9" scale="72" orientation="portrait" r:id="rId1"/>
  <headerFooter alignWithMargins="0"/>
  <rowBreaks count="2" manualBreakCount="2">
    <brk id="50" max="4" man="1"/>
    <brk id="100" max="4"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I133"/>
  <sheetViews>
    <sheetView view="pageBreakPreview" zoomScale="70" zoomScaleNormal="100" zoomScaleSheetLayoutView="70" workbookViewId="0"/>
  </sheetViews>
  <sheetFormatPr defaultRowHeight="14.25"/>
  <cols>
    <col min="1" max="1" width="10.625" style="156" customWidth="1"/>
    <col min="2" max="2" width="40.625" style="156" customWidth="1"/>
    <col min="3" max="4" width="10.625" style="156" customWidth="1"/>
    <col min="5" max="5" width="30.625" style="156" customWidth="1"/>
    <col min="6" max="6" width="9" style="156"/>
    <col min="7" max="9" width="9" style="192"/>
    <col min="10" max="16384" width="9" style="156"/>
  </cols>
  <sheetData>
    <row r="1" spans="1:9" ht="15.75" customHeight="1">
      <c r="A1" s="33" t="s">
        <v>364</v>
      </c>
      <c r="B1" s="155"/>
      <c r="C1" s="155"/>
      <c r="D1" s="155"/>
      <c r="E1" s="155"/>
    </row>
    <row r="2" spans="1:9" ht="15.75" customHeight="1">
      <c r="A2" s="1" t="s">
        <v>224</v>
      </c>
      <c r="B2" s="155"/>
      <c r="C2" s="155"/>
      <c r="D2" s="155"/>
      <c r="E2" s="155"/>
    </row>
    <row r="3" spans="1:9" ht="15.75" customHeight="1">
      <c r="A3" s="37" t="s">
        <v>210</v>
      </c>
      <c r="B3" s="155"/>
      <c r="C3" s="155"/>
      <c r="D3" s="155"/>
      <c r="E3" s="155"/>
    </row>
    <row r="4" spans="1:9" ht="15.75" customHeight="1">
      <c r="A4" s="250" t="s">
        <v>275</v>
      </c>
      <c r="B4" s="250"/>
      <c r="C4" s="250"/>
      <c r="D4" s="250"/>
      <c r="E4" s="250"/>
    </row>
    <row r="5" spans="1:9" ht="15.75" customHeight="1">
      <c r="A5" s="250"/>
      <c r="B5" s="250"/>
      <c r="C5" s="250"/>
      <c r="D5" s="250"/>
      <c r="E5" s="250"/>
    </row>
    <row r="6" spans="1:9" ht="15.75" customHeight="1">
      <c r="A6" s="159" t="s">
        <v>237</v>
      </c>
      <c r="B6" s="155"/>
      <c r="C6" s="155"/>
      <c r="D6" s="155"/>
      <c r="E6" s="155"/>
    </row>
    <row r="7" spans="1:9" ht="15.75" customHeight="1">
      <c r="A7" s="160" t="s">
        <v>238</v>
      </c>
      <c r="B7" s="161"/>
      <c r="C7" s="161"/>
      <c r="D7" s="161"/>
      <c r="E7" s="161"/>
    </row>
    <row r="8" spans="1:9" ht="30">
      <c r="A8" s="162" t="s">
        <v>239</v>
      </c>
      <c r="B8" s="162" t="s">
        <v>240</v>
      </c>
      <c r="C8" s="163" t="s">
        <v>241</v>
      </c>
      <c r="D8" s="163" t="s">
        <v>242</v>
      </c>
      <c r="E8" s="162" t="s">
        <v>243</v>
      </c>
    </row>
    <row r="9" spans="1:9" ht="15.75" customHeight="1">
      <c r="A9" s="173">
        <v>1</v>
      </c>
      <c r="B9" s="174" t="s">
        <v>214</v>
      </c>
      <c r="C9" s="173">
        <v>2.2999999999999998</v>
      </c>
      <c r="D9" s="173">
        <v>2.2999999999999998</v>
      </c>
      <c r="E9" s="175"/>
      <c r="G9" s="193">
        <v>2.2999999999999998</v>
      </c>
      <c r="H9" s="192" t="str">
        <f t="shared" ref="H9:H68" si="0">"="&amp;G9</f>
        <v>=2.3</v>
      </c>
      <c r="I9" s="192">
        <f>2.3</f>
        <v>2.2999999999999998</v>
      </c>
    </row>
    <row r="10" spans="1:9" ht="15.75" customHeight="1">
      <c r="A10" s="173">
        <v>2</v>
      </c>
      <c r="B10" s="174" t="s">
        <v>214</v>
      </c>
      <c r="C10" s="173">
        <v>2.5</v>
      </c>
      <c r="D10" s="173">
        <v>1.7</v>
      </c>
      <c r="E10" s="175"/>
      <c r="G10" s="193">
        <v>2.5</v>
      </c>
      <c r="H10" s="192" t="str">
        <f t="shared" si="0"/>
        <v>=2.5</v>
      </c>
      <c r="I10" s="192">
        <f>2.5</f>
        <v>2.5</v>
      </c>
    </row>
    <row r="11" spans="1:9" ht="15.75" customHeight="1">
      <c r="A11" s="173">
        <v>3</v>
      </c>
      <c r="B11" s="174" t="s">
        <v>285</v>
      </c>
      <c r="C11" s="173">
        <v>2.5</v>
      </c>
      <c r="D11" s="173">
        <v>2</v>
      </c>
      <c r="E11" s="175"/>
      <c r="G11" s="193" t="s">
        <v>427</v>
      </c>
      <c r="H11" s="192" t="str">
        <f t="shared" si="0"/>
        <v>=1.7+0.8</v>
      </c>
      <c r="I11" s="192">
        <f>1.7+0.8</f>
        <v>2.5</v>
      </c>
    </row>
    <row r="12" spans="1:9" ht="15.75" customHeight="1">
      <c r="A12" s="173">
        <v>4</v>
      </c>
      <c r="B12" s="174" t="s">
        <v>227</v>
      </c>
      <c r="C12" s="173">
        <v>0.2</v>
      </c>
      <c r="D12" s="176">
        <v>1.5</v>
      </c>
      <c r="E12" s="175"/>
      <c r="G12" s="193">
        <v>0.2</v>
      </c>
      <c r="H12" s="192" t="str">
        <f t="shared" si="0"/>
        <v>=0.2</v>
      </c>
      <c r="I12" s="192">
        <f>0.2</f>
        <v>0.2</v>
      </c>
    </row>
    <row r="13" spans="1:9" ht="15.75" customHeight="1">
      <c r="A13" s="173">
        <v>5</v>
      </c>
      <c r="B13" s="174" t="s">
        <v>227</v>
      </c>
      <c r="C13" s="173">
        <v>0.3</v>
      </c>
      <c r="D13" s="176">
        <v>1.5</v>
      </c>
      <c r="E13" s="175"/>
      <c r="G13" s="193">
        <v>0.3</v>
      </c>
      <c r="H13" s="192" t="str">
        <f t="shared" si="0"/>
        <v>=0.3</v>
      </c>
      <c r="I13" s="192">
        <f>0.3</f>
        <v>0.3</v>
      </c>
    </row>
    <row r="14" spans="1:9" ht="15.75" customHeight="1">
      <c r="A14" s="173">
        <v>6</v>
      </c>
      <c r="B14" s="174" t="s">
        <v>227</v>
      </c>
      <c r="C14" s="173">
        <v>1</v>
      </c>
      <c r="D14" s="176">
        <v>2.2999999999999998</v>
      </c>
      <c r="E14" s="175"/>
      <c r="G14" s="193">
        <v>1</v>
      </c>
      <c r="H14" s="192" t="str">
        <f t="shared" si="0"/>
        <v>=1</v>
      </c>
      <c r="I14" s="192">
        <f>1</f>
        <v>1</v>
      </c>
    </row>
    <row r="15" spans="1:9" ht="15.75" customHeight="1">
      <c r="A15" s="173">
        <v>7</v>
      </c>
      <c r="B15" s="174" t="s">
        <v>227</v>
      </c>
      <c r="C15" s="173">
        <v>1.1000000000000001</v>
      </c>
      <c r="D15" s="173">
        <v>1.5</v>
      </c>
      <c r="E15" s="175"/>
      <c r="G15" s="193">
        <v>1.1000000000000001</v>
      </c>
      <c r="H15" s="192" t="str">
        <f t="shared" si="0"/>
        <v>=1.1</v>
      </c>
      <c r="I15" s="192">
        <f>1.1</f>
        <v>1.1000000000000001</v>
      </c>
    </row>
    <row r="16" spans="1:9" ht="15.75" customHeight="1">
      <c r="A16" s="173">
        <v>8</v>
      </c>
      <c r="B16" s="174" t="s">
        <v>227</v>
      </c>
      <c r="C16" s="173">
        <v>2.2999999999999998</v>
      </c>
      <c r="D16" s="173">
        <v>1.8</v>
      </c>
      <c r="E16" s="175"/>
      <c r="G16" s="193" t="s">
        <v>428</v>
      </c>
      <c r="H16" s="192" t="str">
        <f t="shared" si="0"/>
        <v>=1.2+1.1</v>
      </c>
      <c r="I16" s="192">
        <f>1.2+1.1</f>
        <v>2.2999999999999998</v>
      </c>
    </row>
    <row r="17" spans="1:9" ht="15.75" customHeight="1">
      <c r="A17" s="173">
        <v>9</v>
      </c>
      <c r="B17" s="174" t="s">
        <v>227</v>
      </c>
      <c r="C17" s="173">
        <v>2.9000000000000004</v>
      </c>
      <c r="D17" s="173">
        <v>1.7</v>
      </c>
      <c r="E17" s="175"/>
      <c r="G17" s="193" t="s">
        <v>429</v>
      </c>
      <c r="H17" s="192" t="str">
        <f t="shared" si="0"/>
        <v>=1.6+1.3</v>
      </c>
      <c r="I17" s="192">
        <f>1.6+1.3</f>
        <v>2.9000000000000004</v>
      </c>
    </row>
    <row r="18" spans="1:9" ht="15.75" customHeight="1">
      <c r="A18" s="173">
        <v>10</v>
      </c>
      <c r="B18" s="174" t="s">
        <v>227</v>
      </c>
      <c r="C18" s="173">
        <v>4.5999999999999996</v>
      </c>
      <c r="D18" s="173">
        <v>2.4</v>
      </c>
      <c r="E18" s="175"/>
      <c r="G18" s="193" t="s">
        <v>430</v>
      </c>
      <c r="H18" s="192" t="str">
        <f t="shared" si="0"/>
        <v>=3.6+1</v>
      </c>
      <c r="I18" s="192">
        <f>3.6+1</f>
        <v>4.5999999999999996</v>
      </c>
    </row>
    <row r="19" spans="1:9" ht="15.75" customHeight="1">
      <c r="A19" s="173">
        <v>12</v>
      </c>
      <c r="B19" s="174" t="s">
        <v>227</v>
      </c>
      <c r="C19" s="173">
        <v>19.799999999999997</v>
      </c>
      <c r="D19" s="173">
        <v>3</v>
      </c>
      <c r="E19" s="175"/>
      <c r="G19" s="193" t="s">
        <v>431</v>
      </c>
      <c r="H19" s="192" t="str">
        <f t="shared" si="0"/>
        <v>=3.6+3.1+2.9+2.8+2.6+2.6+2.2</v>
      </c>
      <c r="I19" s="192">
        <f>3.6+3.1+2.9+2.8+2.6+2.6+2.2</f>
        <v>19.799999999999997</v>
      </c>
    </row>
    <row r="20" spans="1:9" ht="15.75" customHeight="1">
      <c r="A20" s="173">
        <v>13</v>
      </c>
      <c r="B20" s="174" t="s">
        <v>227</v>
      </c>
      <c r="C20" s="173">
        <v>14.000000000000004</v>
      </c>
      <c r="D20" s="173">
        <v>2.2999999999999998</v>
      </c>
      <c r="E20" s="175"/>
      <c r="G20" s="193" t="s">
        <v>432</v>
      </c>
      <c r="H20" s="192" t="str">
        <f t="shared" si="0"/>
        <v>=2.6+2.2+2.2+2.1+1.8+0.8+0.8+0.6+0.5+0.4</v>
      </c>
      <c r="I20" s="192">
        <f>2.6+2.2+2.2+2.1+1.8+0.8+0.8+0.6+0.5+0.4</f>
        <v>14.000000000000004</v>
      </c>
    </row>
    <row r="21" spans="1:9" ht="15.75" customHeight="1">
      <c r="A21" s="173">
        <v>14</v>
      </c>
      <c r="B21" s="174" t="s">
        <v>227</v>
      </c>
      <c r="C21" s="173">
        <v>29.800000000000004</v>
      </c>
      <c r="D21" s="173">
        <v>3</v>
      </c>
      <c r="E21" s="175"/>
      <c r="G21" s="193" t="s">
        <v>433</v>
      </c>
      <c r="H21" s="192" t="str">
        <f t="shared" si="0"/>
        <v>=3.6+3.2+3.1+2.9+2.7+2.6+2.6+2.6+2.3+2.3+1.9</v>
      </c>
      <c r="I21" s="192">
        <f>3.6+3.2+3.1+2.9+2.7+2.6+2.6+2.6+2.3+2.3+1.9</f>
        <v>29.800000000000004</v>
      </c>
    </row>
    <row r="22" spans="1:9" ht="15.75" customHeight="1">
      <c r="A22" s="173">
        <v>15</v>
      </c>
      <c r="B22" s="174" t="s">
        <v>282</v>
      </c>
      <c r="C22" s="173">
        <v>13.299999999999999</v>
      </c>
      <c r="D22" s="173">
        <v>4</v>
      </c>
      <c r="E22" s="175"/>
      <c r="G22" s="193" t="s">
        <v>434</v>
      </c>
      <c r="H22" s="192" t="str">
        <f t="shared" si="0"/>
        <v>=4.5+3.7+3+2.1</v>
      </c>
      <c r="I22" s="192">
        <f>4.5+3.7+3+2.1</f>
        <v>13.299999999999999</v>
      </c>
    </row>
    <row r="23" spans="1:9" ht="15.75" customHeight="1">
      <c r="A23" s="173">
        <v>16</v>
      </c>
      <c r="B23" s="174" t="s">
        <v>257</v>
      </c>
      <c r="C23" s="173">
        <v>0.1</v>
      </c>
      <c r="D23" s="173">
        <v>1.4</v>
      </c>
      <c r="E23" s="175"/>
      <c r="G23" s="193">
        <v>0.1</v>
      </c>
      <c r="H23" s="192" t="str">
        <f t="shared" si="0"/>
        <v>=0.1</v>
      </c>
      <c r="I23" s="192">
        <f>0.1</f>
        <v>0.1</v>
      </c>
    </row>
    <row r="24" spans="1:9" ht="15.75" customHeight="1">
      <c r="A24" s="173">
        <v>17</v>
      </c>
      <c r="B24" s="174" t="s">
        <v>257</v>
      </c>
      <c r="C24" s="173">
        <v>0.1</v>
      </c>
      <c r="D24" s="173">
        <v>1.4</v>
      </c>
      <c r="E24" s="175"/>
      <c r="G24" s="193">
        <v>0.1</v>
      </c>
      <c r="H24" s="192" t="str">
        <f t="shared" si="0"/>
        <v>=0.1</v>
      </c>
      <c r="I24" s="192">
        <f>0.1</f>
        <v>0.1</v>
      </c>
    </row>
    <row r="25" spans="1:9" ht="15.75" customHeight="1">
      <c r="A25" s="173">
        <v>18</v>
      </c>
      <c r="B25" s="174" t="s">
        <v>260</v>
      </c>
      <c r="C25" s="173">
        <v>1</v>
      </c>
      <c r="D25" s="173">
        <v>1.6</v>
      </c>
      <c r="E25" s="175"/>
      <c r="G25" s="193">
        <v>1</v>
      </c>
      <c r="H25" s="192" t="str">
        <f t="shared" si="0"/>
        <v>=1</v>
      </c>
      <c r="I25" s="192">
        <f>1</f>
        <v>1</v>
      </c>
    </row>
    <row r="26" spans="1:9" ht="15.75" customHeight="1">
      <c r="A26" s="173">
        <v>19</v>
      </c>
      <c r="B26" s="174" t="s">
        <v>260</v>
      </c>
      <c r="C26" s="173">
        <v>2.1</v>
      </c>
      <c r="D26" s="173">
        <v>3</v>
      </c>
      <c r="E26" s="175"/>
      <c r="G26" s="193">
        <v>2.1</v>
      </c>
      <c r="H26" s="192" t="str">
        <f t="shared" si="0"/>
        <v>=2.1</v>
      </c>
      <c r="I26" s="192">
        <f>2.1</f>
        <v>2.1</v>
      </c>
    </row>
    <row r="27" spans="1:9" ht="15.75" customHeight="1">
      <c r="A27" s="173">
        <v>20</v>
      </c>
      <c r="B27" s="174" t="s">
        <v>260</v>
      </c>
      <c r="C27" s="173">
        <v>2.4</v>
      </c>
      <c r="D27" s="173">
        <v>2</v>
      </c>
      <c r="E27" s="175"/>
      <c r="G27" s="193">
        <v>2.4</v>
      </c>
      <c r="H27" s="192" t="str">
        <f t="shared" si="0"/>
        <v>=2.4</v>
      </c>
      <c r="I27" s="192">
        <f>2.4</f>
        <v>2.4</v>
      </c>
    </row>
    <row r="28" spans="1:9" ht="15.75" customHeight="1">
      <c r="A28" s="173">
        <v>22</v>
      </c>
      <c r="B28" s="174" t="s">
        <v>260</v>
      </c>
      <c r="C28" s="173">
        <v>3.4</v>
      </c>
      <c r="D28" s="173">
        <v>2</v>
      </c>
      <c r="E28" s="175"/>
      <c r="G28" s="193">
        <v>3.4</v>
      </c>
      <c r="H28" s="192" t="str">
        <f t="shared" si="0"/>
        <v>=3.4</v>
      </c>
      <c r="I28" s="192">
        <f>3.4</f>
        <v>3.4</v>
      </c>
    </row>
    <row r="29" spans="1:9" ht="15.75" customHeight="1">
      <c r="A29" s="173">
        <v>23</v>
      </c>
      <c r="B29" s="174" t="s">
        <v>261</v>
      </c>
      <c r="C29" s="173">
        <v>0.2</v>
      </c>
      <c r="D29" s="173">
        <v>1.5</v>
      </c>
      <c r="E29" s="175"/>
      <c r="G29" s="193">
        <v>0.2</v>
      </c>
      <c r="H29" s="192" t="str">
        <f t="shared" si="0"/>
        <v>=0.2</v>
      </c>
      <c r="I29" s="192">
        <f>0.2</f>
        <v>0.2</v>
      </c>
    </row>
    <row r="30" spans="1:9" ht="15.75" customHeight="1">
      <c r="A30" s="173">
        <v>24</v>
      </c>
      <c r="B30" s="174" t="s">
        <v>286</v>
      </c>
      <c r="C30" s="173">
        <v>3.8</v>
      </c>
      <c r="D30" s="173">
        <v>4</v>
      </c>
      <c r="E30" s="175"/>
      <c r="G30" s="193">
        <v>3.8</v>
      </c>
      <c r="H30" s="192" t="str">
        <f t="shared" si="0"/>
        <v>=3.8</v>
      </c>
      <c r="I30" s="192">
        <f>3.8</f>
        <v>3.8</v>
      </c>
    </row>
    <row r="31" spans="1:9" ht="15.75" customHeight="1">
      <c r="A31" s="173">
        <v>25</v>
      </c>
      <c r="B31" s="174" t="s">
        <v>287</v>
      </c>
      <c r="C31" s="173">
        <v>0.4</v>
      </c>
      <c r="D31" s="173">
        <v>1.5</v>
      </c>
      <c r="E31" s="175"/>
      <c r="G31" s="193">
        <v>0.4</v>
      </c>
      <c r="H31" s="192" t="str">
        <f t="shared" si="0"/>
        <v>=0.4</v>
      </c>
      <c r="I31" s="192">
        <f>0.4</f>
        <v>0.4</v>
      </c>
    </row>
    <row r="32" spans="1:9" ht="15.75" customHeight="1">
      <c r="A32" s="173">
        <v>26</v>
      </c>
      <c r="B32" s="174" t="s">
        <v>287</v>
      </c>
      <c r="C32" s="173">
        <v>1.3</v>
      </c>
      <c r="D32" s="173">
        <v>2</v>
      </c>
      <c r="E32" s="175"/>
      <c r="G32" s="193">
        <v>1.3</v>
      </c>
      <c r="H32" s="192" t="str">
        <f t="shared" si="0"/>
        <v>=1.3</v>
      </c>
      <c r="I32" s="192">
        <f>1.3</f>
        <v>1.3</v>
      </c>
    </row>
    <row r="33" spans="1:9" ht="15.75" customHeight="1">
      <c r="A33" s="173">
        <v>27</v>
      </c>
      <c r="B33" s="174" t="s">
        <v>287</v>
      </c>
      <c r="C33" s="173">
        <v>1.5</v>
      </c>
      <c r="D33" s="173">
        <v>2</v>
      </c>
      <c r="E33" s="175"/>
      <c r="G33" s="193">
        <v>1.5</v>
      </c>
      <c r="H33" s="192" t="str">
        <f t="shared" si="0"/>
        <v>=1.5</v>
      </c>
      <c r="I33" s="192">
        <f>1.5</f>
        <v>1.5</v>
      </c>
    </row>
    <row r="34" spans="1:9" ht="15.75" customHeight="1">
      <c r="A34" s="173">
        <v>28</v>
      </c>
      <c r="B34" s="174" t="s">
        <v>288</v>
      </c>
      <c r="C34" s="173">
        <v>3.1</v>
      </c>
      <c r="D34" s="173">
        <v>1.8</v>
      </c>
      <c r="E34" s="175"/>
      <c r="G34" s="193">
        <v>3.1</v>
      </c>
      <c r="H34" s="192" t="str">
        <f t="shared" si="0"/>
        <v>=3.1</v>
      </c>
      <c r="I34" s="192">
        <f>3.1</f>
        <v>3.1</v>
      </c>
    </row>
    <row r="35" spans="1:9" ht="15.75" customHeight="1">
      <c r="A35" s="173">
        <v>29</v>
      </c>
      <c r="B35" s="174" t="s">
        <v>221</v>
      </c>
      <c r="C35" s="173">
        <v>0.2</v>
      </c>
      <c r="D35" s="173">
        <v>1.8</v>
      </c>
      <c r="E35" s="175"/>
      <c r="G35" s="193">
        <v>0.2</v>
      </c>
      <c r="H35" s="192" t="str">
        <f t="shared" si="0"/>
        <v>=0.2</v>
      </c>
      <c r="I35" s="192">
        <f>0.2</f>
        <v>0.2</v>
      </c>
    </row>
    <row r="36" spans="1:9" ht="15.75" customHeight="1">
      <c r="A36" s="173">
        <v>31</v>
      </c>
      <c r="B36" s="174" t="s">
        <v>221</v>
      </c>
      <c r="C36" s="173">
        <v>0.8</v>
      </c>
      <c r="D36" s="173">
        <v>2</v>
      </c>
      <c r="E36" s="175"/>
      <c r="G36" s="193">
        <v>0.8</v>
      </c>
      <c r="H36" s="192" t="str">
        <f t="shared" si="0"/>
        <v>=0.8</v>
      </c>
      <c r="I36" s="192">
        <f>0.8</f>
        <v>0.8</v>
      </c>
    </row>
    <row r="37" spans="1:9" ht="15.75" customHeight="1">
      <c r="A37" s="173">
        <v>32</v>
      </c>
      <c r="B37" s="174" t="s">
        <v>221</v>
      </c>
      <c r="C37" s="173">
        <v>1.8</v>
      </c>
      <c r="D37" s="173">
        <v>1.5</v>
      </c>
      <c r="E37" s="175"/>
      <c r="G37" s="193">
        <v>1.8</v>
      </c>
      <c r="H37" s="192" t="str">
        <f t="shared" si="0"/>
        <v>=1.8</v>
      </c>
      <c r="I37" s="192">
        <f>1.8</f>
        <v>1.8</v>
      </c>
    </row>
    <row r="38" spans="1:9" ht="15.75" customHeight="1">
      <c r="A38" s="173">
        <v>33</v>
      </c>
      <c r="B38" s="174" t="s">
        <v>221</v>
      </c>
      <c r="C38" s="173">
        <v>25.099999999999998</v>
      </c>
      <c r="D38" s="173">
        <v>4.5</v>
      </c>
      <c r="E38" s="175"/>
      <c r="G38" s="193" t="s">
        <v>435</v>
      </c>
      <c r="H38" s="192" t="str">
        <f t="shared" si="0"/>
        <v>=2.8+2.6+2.6+2.5+2.2+2.1+2+1.9+1.8+1.6+1.5+1.5</v>
      </c>
      <c r="I38" s="192">
        <f>2.8+2.6+2.6+2.5+2.2+2.1+2+1.9+1.8+1.6+1.5+1.5</f>
        <v>25.099999999999998</v>
      </c>
    </row>
    <row r="39" spans="1:9" ht="15.75" customHeight="1">
      <c r="A39" s="173">
        <v>34</v>
      </c>
      <c r="B39" s="174" t="s">
        <v>220</v>
      </c>
      <c r="C39" s="173">
        <v>0.3</v>
      </c>
      <c r="D39" s="173">
        <v>1.4</v>
      </c>
      <c r="E39" s="175"/>
      <c r="G39" s="193">
        <v>0.3</v>
      </c>
      <c r="H39" s="192" t="str">
        <f t="shared" si="0"/>
        <v>=0.3</v>
      </c>
      <c r="I39" s="192">
        <f>0.3</f>
        <v>0.3</v>
      </c>
    </row>
    <row r="40" spans="1:9" ht="15.75" customHeight="1">
      <c r="A40" s="173">
        <v>35</v>
      </c>
      <c r="B40" s="174" t="s">
        <v>220</v>
      </c>
      <c r="C40" s="173">
        <v>6.3999999999999995</v>
      </c>
      <c r="D40" s="173">
        <v>4</v>
      </c>
      <c r="E40" s="175"/>
      <c r="G40" s="193" t="s">
        <v>436</v>
      </c>
      <c r="H40" s="192" t="str">
        <f t="shared" si="0"/>
        <v>=5.1+1.3</v>
      </c>
      <c r="I40" s="192">
        <f>5.1+1.3</f>
        <v>6.3999999999999995</v>
      </c>
    </row>
    <row r="41" spans="1:9" ht="15.75" customHeight="1">
      <c r="A41" s="173">
        <v>36</v>
      </c>
      <c r="B41" s="174" t="s">
        <v>220</v>
      </c>
      <c r="C41" s="173">
        <v>9.1999999999999993</v>
      </c>
      <c r="D41" s="173">
        <v>3.5</v>
      </c>
      <c r="E41" s="175"/>
      <c r="G41" s="193" t="s">
        <v>437</v>
      </c>
      <c r="H41" s="192" t="str">
        <f t="shared" si="0"/>
        <v>=4+3.1+2.1</v>
      </c>
      <c r="I41" s="192">
        <f>4+3.1+2.1</f>
        <v>9.1999999999999993</v>
      </c>
    </row>
    <row r="42" spans="1:9" ht="15.75" customHeight="1">
      <c r="A42" s="173">
        <v>37</v>
      </c>
      <c r="B42" s="174" t="s">
        <v>289</v>
      </c>
      <c r="C42" s="173">
        <v>0.1</v>
      </c>
      <c r="D42" s="173">
        <v>1.5</v>
      </c>
      <c r="E42" s="175"/>
      <c r="G42" s="193">
        <v>0.1</v>
      </c>
      <c r="H42" s="192" t="str">
        <f t="shared" si="0"/>
        <v>=0.1</v>
      </c>
      <c r="I42" s="192">
        <f>0.1</f>
        <v>0.1</v>
      </c>
    </row>
    <row r="43" spans="1:9" ht="15.75" customHeight="1">
      <c r="A43" s="173">
        <v>38</v>
      </c>
      <c r="B43" s="174" t="s">
        <v>289</v>
      </c>
      <c r="C43" s="173">
        <v>0.2</v>
      </c>
      <c r="D43" s="173">
        <v>1.6</v>
      </c>
      <c r="E43" s="175"/>
      <c r="G43" s="193">
        <v>0.2</v>
      </c>
      <c r="H43" s="192" t="str">
        <f t="shared" si="0"/>
        <v>=0.2</v>
      </c>
      <c r="I43" s="192">
        <f>0.2</f>
        <v>0.2</v>
      </c>
    </row>
    <row r="44" spans="1:9" ht="15.75" customHeight="1">
      <c r="A44" s="173">
        <v>39</v>
      </c>
      <c r="B44" s="174" t="s">
        <v>289</v>
      </c>
      <c r="C44" s="173">
        <v>0.9</v>
      </c>
      <c r="D44" s="173">
        <v>1.5</v>
      </c>
      <c r="E44" s="175"/>
      <c r="G44" s="193">
        <v>0.9</v>
      </c>
      <c r="H44" s="192" t="str">
        <f t="shared" si="0"/>
        <v>=0.9</v>
      </c>
      <c r="I44" s="192">
        <f>0.9</f>
        <v>0.9</v>
      </c>
    </row>
    <row r="45" spans="1:9" ht="15.75" customHeight="1">
      <c r="A45" s="173">
        <v>41</v>
      </c>
      <c r="B45" s="174" t="s">
        <v>289</v>
      </c>
      <c r="C45" s="173">
        <v>1.4</v>
      </c>
      <c r="D45" s="173">
        <v>1.6</v>
      </c>
      <c r="E45" s="175"/>
      <c r="G45" s="193">
        <v>1.4</v>
      </c>
      <c r="H45" s="192" t="str">
        <f t="shared" si="0"/>
        <v>=1.4</v>
      </c>
      <c r="I45" s="192">
        <f>1.4</f>
        <v>1.4</v>
      </c>
    </row>
    <row r="46" spans="1:9" ht="15.75" customHeight="1">
      <c r="A46" s="173">
        <v>42</v>
      </c>
      <c r="B46" s="174" t="s">
        <v>290</v>
      </c>
      <c r="C46" s="173">
        <v>2.2000000000000002</v>
      </c>
      <c r="D46" s="173">
        <v>3.5</v>
      </c>
      <c r="E46" s="175"/>
      <c r="G46" s="193">
        <v>2.2000000000000002</v>
      </c>
      <c r="H46" s="192" t="str">
        <f t="shared" si="0"/>
        <v>=2.2</v>
      </c>
      <c r="I46" s="192">
        <f>2.2</f>
        <v>2.2000000000000002</v>
      </c>
    </row>
    <row r="47" spans="1:9" ht="15.75" customHeight="1">
      <c r="A47" s="173">
        <v>43</v>
      </c>
      <c r="B47" s="174" t="s">
        <v>290</v>
      </c>
      <c r="C47" s="173">
        <v>2.5</v>
      </c>
      <c r="D47" s="173">
        <v>3</v>
      </c>
      <c r="E47" s="175"/>
      <c r="G47" s="193">
        <v>2.5</v>
      </c>
      <c r="H47" s="192" t="str">
        <f t="shared" si="0"/>
        <v>=2.5</v>
      </c>
      <c r="I47" s="192">
        <f>2.5</f>
        <v>2.5</v>
      </c>
    </row>
    <row r="48" spans="1:9" ht="15.75" customHeight="1">
      <c r="A48" s="173">
        <v>44</v>
      </c>
      <c r="B48" s="174" t="s">
        <v>273</v>
      </c>
      <c r="C48" s="173">
        <v>0.2</v>
      </c>
      <c r="D48" s="173">
        <v>1.6</v>
      </c>
      <c r="E48" s="175"/>
      <c r="G48" s="193">
        <v>0.2</v>
      </c>
      <c r="H48" s="192" t="str">
        <f t="shared" si="0"/>
        <v>=0.2</v>
      </c>
      <c r="I48" s="192">
        <f>0.2</f>
        <v>0.2</v>
      </c>
    </row>
    <row r="49" spans="1:9" ht="15.75" customHeight="1">
      <c r="A49" s="173">
        <v>45</v>
      </c>
      <c r="B49" s="174" t="s">
        <v>273</v>
      </c>
      <c r="C49" s="173">
        <v>0.2</v>
      </c>
      <c r="D49" s="173">
        <v>1.4</v>
      </c>
      <c r="E49" s="175"/>
      <c r="G49" s="193">
        <v>0.2</v>
      </c>
      <c r="H49" s="192" t="str">
        <f t="shared" si="0"/>
        <v>=0.2</v>
      </c>
      <c r="I49" s="192">
        <f>0.2</f>
        <v>0.2</v>
      </c>
    </row>
    <row r="50" spans="1:9" ht="15.75" customHeight="1">
      <c r="A50" s="173">
        <v>46</v>
      </c>
      <c r="B50" s="174" t="s">
        <v>273</v>
      </c>
      <c r="C50" s="173">
        <v>0.5</v>
      </c>
      <c r="D50" s="173">
        <v>1.4</v>
      </c>
      <c r="E50" s="175"/>
      <c r="G50" s="193">
        <v>0.5</v>
      </c>
      <c r="H50" s="192" t="str">
        <f t="shared" si="0"/>
        <v>=0.5</v>
      </c>
      <c r="I50" s="192">
        <f>0.5</f>
        <v>0.5</v>
      </c>
    </row>
    <row r="51" spans="1:9" ht="15.75" customHeight="1">
      <c r="A51" s="173">
        <v>47</v>
      </c>
      <c r="B51" s="174" t="s">
        <v>273</v>
      </c>
      <c r="C51" s="173">
        <v>0.8</v>
      </c>
      <c r="D51" s="173">
        <v>1.5</v>
      </c>
      <c r="E51" s="175"/>
      <c r="G51" s="193">
        <v>0.8</v>
      </c>
      <c r="H51" s="192" t="str">
        <f t="shared" si="0"/>
        <v>=0.8</v>
      </c>
      <c r="I51" s="192">
        <f>0.8</f>
        <v>0.8</v>
      </c>
    </row>
    <row r="52" spans="1:9" ht="15.75" customHeight="1">
      <c r="A52" s="173">
        <v>48</v>
      </c>
      <c r="B52" s="174" t="s">
        <v>273</v>
      </c>
      <c r="C52" s="173">
        <v>1</v>
      </c>
      <c r="D52" s="173">
        <v>2</v>
      </c>
      <c r="E52" s="175"/>
      <c r="G52" s="193">
        <v>1</v>
      </c>
      <c r="H52" s="192" t="str">
        <f t="shared" si="0"/>
        <v>=1</v>
      </c>
      <c r="I52" s="192">
        <f>1</f>
        <v>1</v>
      </c>
    </row>
    <row r="53" spans="1:9" ht="15.75" customHeight="1">
      <c r="A53" s="173">
        <v>50</v>
      </c>
      <c r="B53" s="174" t="s">
        <v>273</v>
      </c>
      <c r="C53" s="173">
        <v>1.8</v>
      </c>
      <c r="D53" s="173">
        <v>1.6</v>
      </c>
      <c r="E53" s="175"/>
      <c r="G53" s="193">
        <v>1.8</v>
      </c>
      <c r="H53" s="192" t="str">
        <f t="shared" si="0"/>
        <v>=1.8</v>
      </c>
      <c r="I53" s="192">
        <f>1.8</f>
        <v>1.8</v>
      </c>
    </row>
    <row r="54" spans="1:9" ht="15.75" customHeight="1">
      <c r="A54" s="173">
        <v>51</v>
      </c>
      <c r="B54" s="174" t="s">
        <v>273</v>
      </c>
      <c r="C54" s="173">
        <v>2.2999999999999998</v>
      </c>
      <c r="D54" s="173">
        <v>2.1</v>
      </c>
      <c r="E54" s="175"/>
      <c r="G54" s="193">
        <v>2.2999999999999998</v>
      </c>
      <c r="H54" s="192" t="str">
        <f t="shared" si="0"/>
        <v>=2.3</v>
      </c>
      <c r="I54" s="192">
        <f>2.3</f>
        <v>2.2999999999999998</v>
      </c>
    </row>
    <row r="55" spans="1:9" ht="15.75" customHeight="1">
      <c r="A55" s="173">
        <v>52</v>
      </c>
      <c r="B55" s="174" t="s">
        <v>273</v>
      </c>
      <c r="C55" s="173">
        <v>3.2</v>
      </c>
      <c r="D55" s="173">
        <v>2.2999999999999998</v>
      </c>
      <c r="E55" s="175"/>
      <c r="G55" s="193">
        <v>3.2</v>
      </c>
      <c r="H55" s="192" t="str">
        <f t="shared" si="0"/>
        <v>=3.2</v>
      </c>
      <c r="I55" s="192">
        <f>3.2</f>
        <v>3.2</v>
      </c>
    </row>
    <row r="56" spans="1:9" ht="15.75" customHeight="1">
      <c r="A56" s="173">
        <v>53</v>
      </c>
      <c r="B56" s="174" t="s">
        <v>273</v>
      </c>
      <c r="C56" s="173">
        <v>3.4</v>
      </c>
      <c r="D56" s="173">
        <v>2.5</v>
      </c>
      <c r="E56" s="175"/>
      <c r="G56" s="193">
        <v>3.4</v>
      </c>
      <c r="H56" s="192" t="str">
        <f t="shared" si="0"/>
        <v>=3.4</v>
      </c>
      <c r="I56" s="192">
        <f>3.4</f>
        <v>3.4</v>
      </c>
    </row>
    <row r="57" spans="1:9" ht="15.75" customHeight="1">
      <c r="A57" s="173">
        <v>54</v>
      </c>
      <c r="B57" s="174" t="s">
        <v>273</v>
      </c>
      <c r="C57" s="173">
        <v>6.9</v>
      </c>
      <c r="D57" s="173">
        <v>2</v>
      </c>
      <c r="E57" s="175"/>
      <c r="G57" s="193" t="s">
        <v>438</v>
      </c>
      <c r="H57" s="192" t="str">
        <f t="shared" si="0"/>
        <v>=3.7+3.2</v>
      </c>
      <c r="I57" s="192">
        <f>3.7+3.2</f>
        <v>6.9</v>
      </c>
    </row>
    <row r="58" spans="1:9" ht="15.75" customHeight="1">
      <c r="A58" s="173">
        <v>55</v>
      </c>
      <c r="B58" s="174" t="s">
        <v>273</v>
      </c>
      <c r="C58" s="173">
        <v>9.5</v>
      </c>
      <c r="D58" s="173">
        <v>4</v>
      </c>
      <c r="E58" s="175"/>
      <c r="G58" s="193" t="s">
        <v>439</v>
      </c>
      <c r="H58" s="192" t="str">
        <f t="shared" si="0"/>
        <v>=4.5+3+2</v>
      </c>
      <c r="I58" s="192">
        <f>4.5+3+2</f>
        <v>9.5</v>
      </c>
    </row>
    <row r="59" spans="1:9" ht="15.75" customHeight="1">
      <c r="A59" s="173">
        <v>56</v>
      </c>
      <c r="B59" s="174" t="s">
        <v>273</v>
      </c>
      <c r="C59" s="173">
        <v>8.9</v>
      </c>
      <c r="D59" s="173">
        <v>2.2999999999999998</v>
      </c>
      <c r="E59" s="175"/>
      <c r="G59" s="193" t="s">
        <v>440</v>
      </c>
      <c r="H59" s="192" t="str">
        <f t="shared" si="0"/>
        <v>=3.6+3.2+2.1</v>
      </c>
      <c r="I59" s="192">
        <f>3.6+3.2+2.1</f>
        <v>8.9</v>
      </c>
    </row>
    <row r="60" spans="1:9" ht="15.75" customHeight="1">
      <c r="A60" s="173">
        <v>57</v>
      </c>
      <c r="B60" s="174" t="s">
        <v>273</v>
      </c>
      <c r="C60" s="173">
        <v>9.1</v>
      </c>
      <c r="D60" s="173">
        <v>2.2000000000000002</v>
      </c>
      <c r="E60" s="175"/>
      <c r="G60" s="193" t="s">
        <v>441</v>
      </c>
      <c r="H60" s="192" t="str">
        <f t="shared" si="0"/>
        <v>=4.7+2.4+2</v>
      </c>
      <c r="I60" s="192">
        <f>4.7+2.4+2</f>
        <v>9.1</v>
      </c>
    </row>
    <row r="61" spans="1:9" ht="15.75" customHeight="1">
      <c r="A61" s="173">
        <v>58</v>
      </c>
      <c r="B61" s="174" t="s">
        <v>273</v>
      </c>
      <c r="C61" s="173">
        <v>9.7000000000000011</v>
      </c>
      <c r="D61" s="173">
        <v>3.2</v>
      </c>
      <c r="E61" s="175"/>
      <c r="G61" s="193" t="s">
        <v>442</v>
      </c>
      <c r="H61" s="192" t="str">
        <f t="shared" si="0"/>
        <v>=3.8+2.5+2+1.4</v>
      </c>
      <c r="I61" s="192">
        <f>3.8+2.5+2+1.4</f>
        <v>9.7000000000000011</v>
      </c>
    </row>
    <row r="62" spans="1:9" ht="15.75" customHeight="1">
      <c r="A62" s="173">
        <v>60</v>
      </c>
      <c r="B62" s="174" t="s">
        <v>273</v>
      </c>
      <c r="C62" s="173">
        <v>6.7</v>
      </c>
      <c r="D62" s="173">
        <v>2.2000000000000002</v>
      </c>
      <c r="E62" s="175"/>
      <c r="G62" s="193" t="s">
        <v>443</v>
      </c>
      <c r="H62" s="192" t="str">
        <f t="shared" si="0"/>
        <v>=2.2+2+1.3+1.2</v>
      </c>
      <c r="I62" s="192">
        <f>2.2+2+1.3+1.2</f>
        <v>6.7</v>
      </c>
    </row>
    <row r="63" spans="1:9" ht="15.75" customHeight="1">
      <c r="A63" s="173">
        <v>61</v>
      </c>
      <c r="B63" s="174" t="s">
        <v>273</v>
      </c>
      <c r="C63" s="173">
        <v>9.1</v>
      </c>
      <c r="D63" s="173">
        <v>2.5</v>
      </c>
      <c r="E63" s="175"/>
      <c r="G63" s="193" t="s">
        <v>444</v>
      </c>
      <c r="H63" s="192" t="str">
        <f t="shared" si="0"/>
        <v>=3.2+3+1.9+1</v>
      </c>
      <c r="I63" s="192">
        <f>3.2+3+1.9+1</f>
        <v>9.1</v>
      </c>
    </row>
    <row r="64" spans="1:9" ht="15.75" customHeight="1">
      <c r="A64" s="173">
        <v>62</v>
      </c>
      <c r="B64" s="174" t="s">
        <v>273</v>
      </c>
      <c r="C64" s="173">
        <v>12.099999999999998</v>
      </c>
      <c r="D64" s="173">
        <v>2</v>
      </c>
      <c r="E64" s="175"/>
      <c r="G64" s="193" t="s">
        <v>445</v>
      </c>
      <c r="H64" s="192" t="str">
        <f t="shared" si="0"/>
        <v>=4+3.1+2.8+2.2</v>
      </c>
      <c r="I64" s="192">
        <f>4+3.1+2.8+2.2</f>
        <v>12.099999999999998</v>
      </c>
    </row>
    <row r="65" spans="1:9" ht="15.75" customHeight="1">
      <c r="A65" s="173">
        <v>63</v>
      </c>
      <c r="B65" s="174" t="s">
        <v>273</v>
      </c>
      <c r="C65" s="173">
        <v>12.7</v>
      </c>
      <c r="D65" s="173">
        <v>2.8</v>
      </c>
      <c r="E65" s="175"/>
      <c r="G65" s="193" t="s">
        <v>446</v>
      </c>
      <c r="H65" s="192" t="str">
        <f t="shared" si="0"/>
        <v>=3.5+2.6+2.2+2.2+2.2</v>
      </c>
      <c r="I65" s="192">
        <f>3.5+2.6+2.2+2.2+2.2</f>
        <v>12.7</v>
      </c>
    </row>
    <row r="66" spans="1:9" ht="15.75" customHeight="1">
      <c r="A66" s="173">
        <v>64</v>
      </c>
      <c r="B66" s="174" t="s">
        <v>273</v>
      </c>
      <c r="C66" s="173">
        <v>18.899999999999999</v>
      </c>
      <c r="D66" s="173">
        <v>2</v>
      </c>
      <c r="E66" s="175"/>
      <c r="G66" s="193" t="s">
        <v>447</v>
      </c>
      <c r="H66" s="192" t="str">
        <f t="shared" si="0"/>
        <v>=2.9+2.9+2.9+2.9+2.1+1.8+1.4+1+1</v>
      </c>
      <c r="I66" s="192">
        <f>2.9+2.9+2.9+2.9+2.1+1.8+1.4+1+1</f>
        <v>18.899999999999999</v>
      </c>
    </row>
    <row r="67" spans="1:9" ht="15.75" customHeight="1">
      <c r="A67" s="173">
        <v>65</v>
      </c>
      <c r="B67" s="174" t="s">
        <v>269</v>
      </c>
      <c r="C67" s="173">
        <v>0.9</v>
      </c>
      <c r="D67" s="173">
        <v>1</v>
      </c>
      <c r="E67" s="175"/>
      <c r="G67" s="193">
        <v>0.9</v>
      </c>
      <c r="H67" s="192" t="str">
        <f t="shared" si="0"/>
        <v>=0.9</v>
      </c>
      <c r="I67" s="192">
        <f>0.9</f>
        <v>0.9</v>
      </c>
    </row>
    <row r="68" spans="1:9" ht="15.75" customHeight="1">
      <c r="A68" s="173">
        <v>66</v>
      </c>
      <c r="B68" s="174" t="s">
        <v>269</v>
      </c>
      <c r="C68" s="173">
        <v>6.3000000000000007</v>
      </c>
      <c r="D68" s="173">
        <v>2.1</v>
      </c>
      <c r="E68" s="175"/>
      <c r="G68" s="193" t="s">
        <v>448</v>
      </c>
      <c r="H68" s="192" t="str">
        <f t="shared" si="0"/>
        <v>=2.1+1.6+1.5+1.1</v>
      </c>
      <c r="I68" s="192">
        <f>2.1+1.6+1.5+1.1</f>
        <v>6.3000000000000007</v>
      </c>
    </row>
    <row r="69" spans="1:9" ht="15.75" customHeight="1">
      <c r="A69" s="164"/>
      <c r="B69" s="165"/>
      <c r="C69" s="166"/>
      <c r="D69" s="166"/>
      <c r="E69" s="167"/>
    </row>
    <row r="70" spans="1:9" ht="15.75" customHeight="1">
      <c r="A70" s="168"/>
      <c r="B70" s="169"/>
      <c r="C70" s="170"/>
      <c r="D70" s="170"/>
      <c r="E70" s="171"/>
    </row>
    <row r="71" spans="1:9" ht="15.75" customHeight="1">
      <c r="A71" s="248" t="s">
        <v>244</v>
      </c>
      <c r="B71" s="249"/>
      <c r="C71" s="249"/>
      <c r="D71" s="249"/>
      <c r="E71" s="249"/>
    </row>
    <row r="72" spans="1:9" ht="15.75" customHeight="1">
      <c r="A72" s="248" t="s">
        <v>245</v>
      </c>
      <c r="B72" s="249"/>
      <c r="C72" s="249"/>
      <c r="D72" s="249"/>
      <c r="E72" s="249"/>
    </row>
    <row r="73" spans="1:9" ht="30">
      <c r="A73" s="162" t="s">
        <v>239</v>
      </c>
      <c r="B73" s="162" t="s">
        <v>240</v>
      </c>
      <c r="C73" s="163" t="s">
        <v>241</v>
      </c>
      <c r="D73" s="163" t="s">
        <v>242</v>
      </c>
      <c r="E73" s="162" t="s">
        <v>243</v>
      </c>
    </row>
    <row r="74" spans="1:9" ht="15.75" customHeight="1">
      <c r="A74" s="173">
        <v>1</v>
      </c>
      <c r="B74" s="174" t="s">
        <v>291</v>
      </c>
      <c r="C74" s="173">
        <v>4.5999999999999996</v>
      </c>
      <c r="D74" s="173">
        <v>5.8</v>
      </c>
      <c r="E74" s="175"/>
      <c r="G74" s="193">
        <v>4.5999999999999996</v>
      </c>
      <c r="H74" s="192" t="str">
        <f t="shared" ref="H74:H114" si="1">"="&amp;G74</f>
        <v>=4.6</v>
      </c>
      <c r="I74" s="192">
        <f>4.6</f>
        <v>4.5999999999999996</v>
      </c>
    </row>
    <row r="75" spans="1:9" ht="15.75" customHeight="1">
      <c r="A75" s="173">
        <v>2</v>
      </c>
      <c r="B75" s="174" t="s">
        <v>214</v>
      </c>
      <c r="C75" s="173">
        <v>4.8</v>
      </c>
      <c r="D75" s="173">
        <v>5.2</v>
      </c>
      <c r="E75" s="175"/>
      <c r="G75" s="193">
        <v>4.8</v>
      </c>
      <c r="H75" s="192" t="str">
        <f t="shared" si="1"/>
        <v>=4.8</v>
      </c>
      <c r="I75" s="192">
        <f>4.8</f>
        <v>4.8</v>
      </c>
    </row>
    <row r="76" spans="1:9" ht="15.75" customHeight="1">
      <c r="A76" s="173">
        <v>3</v>
      </c>
      <c r="B76" s="174" t="s">
        <v>214</v>
      </c>
      <c r="C76" s="173">
        <v>6.8</v>
      </c>
      <c r="D76" s="173">
        <v>5.2</v>
      </c>
      <c r="E76" s="175"/>
      <c r="G76" s="193">
        <v>6.8</v>
      </c>
      <c r="H76" s="192" t="str">
        <f t="shared" si="1"/>
        <v>=6.8</v>
      </c>
      <c r="I76" s="192">
        <f>6.8</f>
        <v>6.8</v>
      </c>
    </row>
    <row r="77" spans="1:9" ht="15.75" customHeight="1">
      <c r="A77" s="173">
        <v>4</v>
      </c>
      <c r="B77" s="174" t="s">
        <v>227</v>
      </c>
      <c r="C77" s="173">
        <v>13.4</v>
      </c>
      <c r="D77" s="176">
        <v>5.0999999999999996</v>
      </c>
      <c r="E77" s="175"/>
      <c r="G77" s="193" t="s">
        <v>449</v>
      </c>
      <c r="H77" s="192" t="str">
        <f t="shared" si="1"/>
        <v>=5+4.4+4</v>
      </c>
      <c r="I77" s="192">
        <f>5+4.4+4</f>
        <v>13.4</v>
      </c>
    </row>
    <row r="78" spans="1:9" ht="15.75" customHeight="1">
      <c r="A78" s="173">
        <v>5</v>
      </c>
      <c r="B78" s="174" t="s">
        <v>227</v>
      </c>
      <c r="C78" s="173">
        <v>30</v>
      </c>
      <c r="D78" s="176">
        <v>4</v>
      </c>
      <c r="E78" s="175"/>
      <c r="G78" s="193" t="s">
        <v>450</v>
      </c>
      <c r="H78" s="192" t="str">
        <f t="shared" si="1"/>
        <v>=5.1+4.8+4.3+4.2+3+2.6+2.4+2.3+1.3</v>
      </c>
      <c r="I78" s="192">
        <f>5.1+4.8+4.3+4.2+3+2.6+2.4+2.3+1.3</f>
        <v>30</v>
      </c>
    </row>
    <row r="79" spans="1:9" ht="15.75" customHeight="1">
      <c r="A79" s="173">
        <v>6</v>
      </c>
      <c r="B79" s="174" t="s">
        <v>282</v>
      </c>
      <c r="C79" s="173">
        <v>4.5999999999999996</v>
      </c>
      <c r="D79" s="176">
        <v>4.3</v>
      </c>
      <c r="E79" s="175"/>
      <c r="G79" s="193">
        <v>4.5999999999999996</v>
      </c>
      <c r="H79" s="192" t="str">
        <f t="shared" si="1"/>
        <v>=4.6</v>
      </c>
      <c r="I79" s="192">
        <f>4.6</f>
        <v>4.5999999999999996</v>
      </c>
    </row>
    <row r="80" spans="1:9" ht="15.75" customHeight="1">
      <c r="A80" s="173">
        <v>7</v>
      </c>
      <c r="B80" s="174" t="s">
        <v>225</v>
      </c>
      <c r="C80" s="173">
        <v>4.5999999999999996</v>
      </c>
      <c r="D80" s="176">
        <v>5</v>
      </c>
      <c r="E80" s="175"/>
      <c r="G80" s="193">
        <v>4.5999999999999996</v>
      </c>
      <c r="H80" s="192" t="str">
        <f t="shared" si="1"/>
        <v>=4.6</v>
      </c>
      <c r="I80" s="192">
        <f>4.6</f>
        <v>4.5999999999999996</v>
      </c>
    </row>
    <row r="81" spans="1:9" ht="15.75" customHeight="1">
      <c r="A81" s="173">
        <v>8</v>
      </c>
      <c r="B81" s="174" t="s">
        <v>225</v>
      </c>
      <c r="C81" s="173">
        <v>7.5</v>
      </c>
      <c r="D81" s="176">
        <v>6</v>
      </c>
      <c r="E81" s="175"/>
      <c r="G81" s="193">
        <v>7.5</v>
      </c>
      <c r="H81" s="192" t="str">
        <f t="shared" si="1"/>
        <v>=7.5</v>
      </c>
      <c r="I81" s="192">
        <f>7.5</f>
        <v>7.5</v>
      </c>
    </row>
    <row r="82" spans="1:9" ht="15.75" customHeight="1">
      <c r="A82" s="173">
        <v>9</v>
      </c>
      <c r="B82" s="174" t="s">
        <v>225</v>
      </c>
      <c r="C82" s="173">
        <v>9.3000000000000007</v>
      </c>
      <c r="D82" s="176">
        <v>6.2</v>
      </c>
      <c r="E82" s="175"/>
      <c r="G82" s="193">
        <v>9.3000000000000007</v>
      </c>
      <c r="H82" s="192" t="str">
        <f t="shared" si="1"/>
        <v>=9.3</v>
      </c>
      <c r="I82" s="192">
        <f>9.3</f>
        <v>9.3000000000000007</v>
      </c>
    </row>
    <row r="83" spans="1:9" ht="15.75" customHeight="1">
      <c r="A83" s="173">
        <v>10</v>
      </c>
      <c r="B83" s="174" t="s">
        <v>225</v>
      </c>
      <c r="C83" s="173">
        <v>12.8</v>
      </c>
      <c r="D83" s="176">
        <v>7.8</v>
      </c>
      <c r="E83" s="175"/>
      <c r="G83" s="193">
        <v>12.8</v>
      </c>
      <c r="H83" s="192" t="str">
        <f t="shared" si="1"/>
        <v>=12.8</v>
      </c>
      <c r="I83" s="192">
        <f>12.8</f>
        <v>12.8</v>
      </c>
    </row>
    <row r="84" spans="1:9" ht="15.75" customHeight="1">
      <c r="A84" s="173">
        <v>11</v>
      </c>
      <c r="B84" s="174" t="s">
        <v>225</v>
      </c>
      <c r="C84" s="173">
        <v>17.7</v>
      </c>
      <c r="D84" s="176">
        <v>7.2</v>
      </c>
      <c r="E84" s="175"/>
      <c r="G84" s="193">
        <v>17.7</v>
      </c>
      <c r="H84" s="192" t="str">
        <f t="shared" si="1"/>
        <v>=17.7</v>
      </c>
      <c r="I84" s="192">
        <f>17.7</f>
        <v>17.7</v>
      </c>
    </row>
    <row r="85" spans="1:9" ht="15.75" customHeight="1">
      <c r="A85" s="173">
        <v>12</v>
      </c>
      <c r="B85" s="174" t="s">
        <v>220</v>
      </c>
      <c r="C85" s="173">
        <v>4</v>
      </c>
      <c r="D85" s="176">
        <v>5.2</v>
      </c>
      <c r="E85" s="175"/>
      <c r="G85" s="193">
        <v>4</v>
      </c>
      <c r="H85" s="192" t="str">
        <f t="shared" si="1"/>
        <v>=4</v>
      </c>
      <c r="I85" s="192">
        <f>4</f>
        <v>4</v>
      </c>
    </row>
    <row r="86" spans="1:9" ht="15.75" customHeight="1">
      <c r="A86" s="173">
        <v>13</v>
      </c>
      <c r="B86" s="174" t="s">
        <v>220</v>
      </c>
      <c r="C86" s="173">
        <v>4.4000000000000004</v>
      </c>
      <c r="D86" s="176">
        <v>4</v>
      </c>
      <c r="E86" s="175"/>
      <c r="G86" s="193">
        <v>4.4000000000000004</v>
      </c>
      <c r="H86" s="192" t="str">
        <f t="shared" si="1"/>
        <v>=4.4</v>
      </c>
      <c r="I86" s="192">
        <f>4.4</f>
        <v>4.4000000000000004</v>
      </c>
    </row>
    <row r="87" spans="1:9" ht="15.75" customHeight="1">
      <c r="A87" s="173">
        <v>14</v>
      </c>
      <c r="B87" s="174" t="s">
        <v>220</v>
      </c>
      <c r="C87" s="173">
        <v>4.7</v>
      </c>
      <c r="D87" s="176">
        <v>4.8</v>
      </c>
      <c r="E87" s="175"/>
      <c r="G87" s="193">
        <v>4.7</v>
      </c>
      <c r="H87" s="192" t="str">
        <f t="shared" si="1"/>
        <v>=4.7</v>
      </c>
      <c r="I87" s="192">
        <f>4.7</f>
        <v>4.7</v>
      </c>
    </row>
    <row r="88" spans="1:9" ht="15.75" customHeight="1">
      <c r="A88" s="173">
        <v>15</v>
      </c>
      <c r="B88" s="174" t="s">
        <v>220</v>
      </c>
      <c r="C88" s="173">
        <v>5.2</v>
      </c>
      <c r="D88" s="176">
        <v>5.3</v>
      </c>
      <c r="E88" s="175"/>
      <c r="G88" s="193">
        <v>5.2</v>
      </c>
      <c r="H88" s="192" t="str">
        <f t="shared" si="1"/>
        <v>=5.2</v>
      </c>
      <c r="I88" s="192">
        <f>5.2</f>
        <v>5.2</v>
      </c>
    </row>
    <row r="89" spans="1:9" ht="15.75" customHeight="1">
      <c r="A89" s="173">
        <v>16</v>
      </c>
      <c r="B89" s="174" t="s">
        <v>220</v>
      </c>
      <c r="C89" s="173">
        <v>5.4</v>
      </c>
      <c r="D89" s="176">
        <v>5.3</v>
      </c>
      <c r="E89" s="175"/>
      <c r="G89" s="193">
        <v>5.4</v>
      </c>
      <c r="H89" s="192" t="str">
        <f t="shared" si="1"/>
        <v>=5.4</v>
      </c>
      <c r="I89" s="192">
        <f>5.4</f>
        <v>5.4</v>
      </c>
    </row>
    <row r="90" spans="1:9" ht="15.75" customHeight="1">
      <c r="A90" s="173">
        <v>17</v>
      </c>
      <c r="B90" s="174" t="s">
        <v>220</v>
      </c>
      <c r="C90" s="173">
        <v>7</v>
      </c>
      <c r="D90" s="176">
        <v>5.7</v>
      </c>
      <c r="E90" s="175"/>
      <c r="G90" s="193">
        <v>7</v>
      </c>
      <c r="H90" s="192" t="str">
        <f t="shared" si="1"/>
        <v>=7</v>
      </c>
      <c r="I90" s="192">
        <f>7</f>
        <v>7</v>
      </c>
    </row>
    <row r="91" spans="1:9" ht="15.75" customHeight="1">
      <c r="A91" s="173">
        <v>18</v>
      </c>
      <c r="B91" s="174" t="s">
        <v>220</v>
      </c>
      <c r="C91" s="173">
        <v>7.6</v>
      </c>
      <c r="D91" s="176">
        <v>6.2</v>
      </c>
      <c r="E91" s="175"/>
      <c r="G91" s="193">
        <v>7.6</v>
      </c>
      <c r="H91" s="192" t="str">
        <f t="shared" si="1"/>
        <v>=7.6</v>
      </c>
      <c r="I91" s="192">
        <f>7.6</f>
        <v>7.6</v>
      </c>
    </row>
    <row r="92" spans="1:9" ht="15.75" customHeight="1">
      <c r="A92" s="173">
        <v>19</v>
      </c>
      <c r="B92" s="174" t="s">
        <v>220</v>
      </c>
      <c r="C92" s="173">
        <v>15.3</v>
      </c>
      <c r="D92" s="176">
        <v>6.8</v>
      </c>
      <c r="E92" s="175"/>
      <c r="G92" s="193">
        <v>15.3</v>
      </c>
      <c r="H92" s="192" t="str">
        <f t="shared" si="1"/>
        <v>=15.3</v>
      </c>
      <c r="I92" s="192">
        <f>15.3</f>
        <v>15.3</v>
      </c>
    </row>
    <row r="93" spans="1:9" ht="15.75" customHeight="1">
      <c r="A93" s="173">
        <v>20</v>
      </c>
      <c r="B93" s="174" t="s">
        <v>220</v>
      </c>
      <c r="C93" s="173">
        <v>8.3000000000000007</v>
      </c>
      <c r="D93" s="176">
        <v>4</v>
      </c>
      <c r="E93" s="175"/>
      <c r="G93" s="193" t="s">
        <v>451</v>
      </c>
      <c r="H93" s="192" t="str">
        <f t="shared" si="1"/>
        <v>=5.3+3</v>
      </c>
      <c r="I93" s="192">
        <f>5.3+3</f>
        <v>8.3000000000000007</v>
      </c>
    </row>
    <row r="94" spans="1:9" ht="15.75" customHeight="1">
      <c r="A94" s="173">
        <v>21</v>
      </c>
      <c r="B94" s="174" t="s">
        <v>220</v>
      </c>
      <c r="C94" s="173">
        <v>23.7</v>
      </c>
      <c r="D94" s="176">
        <v>6</v>
      </c>
      <c r="E94" s="175"/>
      <c r="G94" s="193" t="s">
        <v>452</v>
      </c>
      <c r="H94" s="192" t="str">
        <f t="shared" si="1"/>
        <v>=5.8+5.6+5.5+5+1+0.8</v>
      </c>
      <c r="I94" s="192">
        <f>5.8+5.6+5.5+5+1+0.8</f>
        <v>23.7</v>
      </c>
    </row>
    <row r="95" spans="1:9" ht="15.75" customHeight="1">
      <c r="A95" s="173">
        <v>22</v>
      </c>
      <c r="B95" s="174" t="s">
        <v>220</v>
      </c>
      <c r="C95" s="173">
        <v>16.700000000000003</v>
      </c>
      <c r="D95" s="176">
        <v>5.6</v>
      </c>
      <c r="E95" s="175"/>
      <c r="G95" s="193" t="s">
        <v>453</v>
      </c>
      <c r="H95" s="192" t="str">
        <f t="shared" si="1"/>
        <v>=6.4+5.2+5.1</v>
      </c>
      <c r="I95" s="192">
        <f>6.4+5.2+5.1</f>
        <v>16.700000000000003</v>
      </c>
    </row>
    <row r="96" spans="1:9" ht="15.75" customHeight="1">
      <c r="A96" s="173">
        <v>23</v>
      </c>
      <c r="B96" s="174" t="s">
        <v>220</v>
      </c>
      <c r="C96" s="173">
        <v>18.2</v>
      </c>
      <c r="D96" s="176">
        <v>5</v>
      </c>
      <c r="E96" s="175"/>
      <c r="G96" s="193" t="s">
        <v>454</v>
      </c>
      <c r="H96" s="192" t="str">
        <f t="shared" si="1"/>
        <v>=11.1+7.1</v>
      </c>
      <c r="I96" s="192">
        <f>11.1+7.1</f>
        <v>18.2</v>
      </c>
    </row>
    <row r="97" spans="1:9" ht="15.75" customHeight="1">
      <c r="A97" s="173">
        <v>24</v>
      </c>
      <c r="B97" s="174" t="s">
        <v>228</v>
      </c>
      <c r="C97" s="173">
        <v>8.8000000000000007</v>
      </c>
      <c r="D97" s="176">
        <v>3.5</v>
      </c>
      <c r="E97" s="175"/>
      <c r="G97" s="193">
        <v>8.8000000000000007</v>
      </c>
      <c r="H97" s="192" t="str">
        <f t="shared" si="1"/>
        <v>=8.8</v>
      </c>
      <c r="I97" s="192">
        <f>8.8</f>
        <v>8.8000000000000007</v>
      </c>
    </row>
    <row r="98" spans="1:9" ht="15.75" customHeight="1">
      <c r="A98" s="173">
        <v>25</v>
      </c>
      <c r="B98" s="174" t="s">
        <v>228</v>
      </c>
      <c r="C98" s="173">
        <v>10.9</v>
      </c>
      <c r="D98" s="176">
        <v>4</v>
      </c>
      <c r="E98" s="175"/>
      <c r="G98" s="193">
        <v>10.9</v>
      </c>
      <c r="H98" s="192" t="str">
        <f t="shared" si="1"/>
        <v>=10.9</v>
      </c>
      <c r="I98" s="192">
        <f>10.9</f>
        <v>10.9</v>
      </c>
    </row>
    <row r="99" spans="1:9" ht="15.75" customHeight="1">
      <c r="A99" s="173">
        <v>26</v>
      </c>
      <c r="B99" s="174" t="s">
        <v>228</v>
      </c>
      <c r="C99" s="173">
        <v>12</v>
      </c>
      <c r="D99" s="176">
        <v>5.8</v>
      </c>
      <c r="E99" s="175"/>
      <c r="G99" s="193">
        <v>12</v>
      </c>
      <c r="H99" s="192" t="str">
        <f t="shared" si="1"/>
        <v>=12</v>
      </c>
      <c r="I99" s="192">
        <f>12</f>
        <v>12</v>
      </c>
    </row>
    <row r="100" spans="1:9" ht="15.75" customHeight="1">
      <c r="A100" s="173">
        <v>27</v>
      </c>
      <c r="B100" s="174" t="s">
        <v>228</v>
      </c>
      <c r="C100" s="173">
        <v>14.6</v>
      </c>
      <c r="D100" s="176">
        <v>4.5</v>
      </c>
      <c r="E100" s="175"/>
      <c r="G100" s="193">
        <v>14.6</v>
      </c>
      <c r="H100" s="192" t="str">
        <f t="shared" si="1"/>
        <v>=14.6</v>
      </c>
      <c r="I100" s="192">
        <f>14.6</f>
        <v>14.6</v>
      </c>
    </row>
    <row r="101" spans="1:9" ht="15.75" customHeight="1">
      <c r="A101" s="173">
        <v>28</v>
      </c>
      <c r="B101" s="174" t="s">
        <v>228</v>
      </c>
      <c r="C101" s="173">
        <v>15.2</v>
      </c>
      <c r="D101" s="176">
        <v>6.7</v>
      </c>
      <c r="E101" s="175"/>
      <c r="G101" s="193">
        <v>15.2</v>
      </c>
      <c r="H101" s="192" t="str">
        <f t="shared" si="1"/>
        <v>=15.2</v>
      </c>
      <c r="I101" s="192">
        <f>15.2</f>
        <v>15.2</v>
      </c>
    </row>
    <row r="102" spans="1:9" ht="15.75" customHeight="1">
      <c r="A102" s="173">
        <v>29</v>
      </c>
      <c r="B102" s="174" t="s">
        <v>228</v>
      </c>
      <c r="C102" s="173">
        <v>16.8</v>
      </c>
      <c r="D102" s="176">
        <v>7</v>
      </c>
      <c r="E102" s="175"/>
      <c r="G102" s="193">
        <v>16.8</v>
      </c>
      <c r="H102" s="192" t="str">
        <f t="shared" si="1"/>
        <v>=16.8</v>
      </c>
      <c r="I102" s="192">
        <f>16.8</f>
        <v>16.8</v>
      </c>
    </row>
    <row r="103" spans="1:9" ht="15.75" customHeight="1">
      <c r="A103" s="173">
        <v>30</v>
      </c>
      <c r="B103" s="174" t="s">
        <v>228</v>
      </c>
      <c r="C103" s="173">
        <v>19.5</v>
      </c>
      <c r="D103" s="176">
        <v>6.2</v>
      </c>
      <c r="E103" s="175"/>
      <c r="G103" s="193" t="s">
        <v>455</v>
      </c>
      <c r="H103" s="192" t="str">
        <f t="shared" si="1"/>
        <v>=12.3+7.2</v>
      </c>
      <c r="I103" s="192">
        <f>12.3+7.2</f>
        <v>19.5</v>
      </c>
    </row>
    <row r="104" spans="1:9" ht="15.75" customHeight="1">
      <c r="A104" s="173">
        <v>31</v>
      </c>
      <c r="B104" s="174" t="s">
        <v>218</v>
      </c>
      <c r="C104" s="173">
        <v>6.8</v>
      </c>
      <c r="D104" s="176">
        <v>4</v>
      </c>
      <c r="E104" s="175"/>
      <c r="G104" s="193">
        <v>6.8</v>
      </c>
      <c r="H104" s="192" t="str">
        <f t="shared" si="1"/>
        <v>=6.8</v>
      </c>
      <c r="I104" s="192">
        <f>6.8</f>
        <v>6.8</v>
      </c>
    </row>
    <row r="105" spans="1:9" ht="15.75" customHeight="1">
      <c r="A105" s="173">
        <v>32</v>
      </c>
      <c r="B105" s="174" t="s">
        <v>218</v>
      </c>
      <c r="C105" s="173">
        <v>7.4</v>
      </c>
      <c r="D105" s="176">
        <v>5</v>
      </c>
      <c r="E105" s="175"/>
      <c r="G105" s="193">
        <v>7.4</v>
      </c>
      <c r="H105" s="192" t="str">
        <f t="shared" si="1"/>
        <v>=7.4</v>
      </c>
      <c r="I105" s="192">
        <f>7.4</f>
        <v>7.4</v>
      </c>
    </row>
    <row r="106" spans="1:9" ht="15.75" customHeight="1">
      <c r="A106" s="173">
        <v>33</v>
      </c>
      <c r="B106" s="174" t="s">
        <v>218</v>
      </c>
      <c r="C106" s="173">
        <v>9.5</v>
      </c>
      <c r="D106" s="176">
        <v>4.5</v>
      </c>
      <c r="E106" s="175"/>
      <c r="G106" s="193">
        <v>9.5</v>
      </c>
      <c r="H106" s="192" t="str">
        <f t="shared" si="1"/>
        <v>=9.5</v>
      </c>
      <c r="I106" s="192">
        <f>9.5</f>
        <v>9.5</v>
      </c>
    </row>
    <row r="107" spans="1:9" ht="15.75" customHeight="1">
      <c r="A107" s="173">
        <v>34</v>
      </c>
      <c r="B107" s="174" t="s">
        <v>218</v>
      </c>
      <c r="C107" s="173">
        <v>10.6</v>
      </c>
      <c r="D107" s="176">
        <v>6.9</v>
      </c>
      <c r="E107" s="175"/>
      <c r="G107" s="193">
        <v>10.6</v>
      </c>
      <c r="H107" s="192" t="str">
        <f t="shared" si="1"/>
        <v>=10.6</v>
      </c>
      <c r="I107" s="192">
        <f>10.6</f>
        <v>10.6</v>
      </c>
    </row>
    <row r="108" spans="1:9" ht="15.75" customHeight="1">
      <c r="A108" s="173">
        <v>35</v>
      </c>
      <c r="B108" s="174" t="s">
        <v>218</v>
      </c>
      <c r="C108" s="173">
        <v>12.9</v>
      </c>
      <c r="D108" s="176">
        <v>6.8</v>
      </c>
      <c r="E108" s="175"/>
      <c r="G108" s="193">
        <v>12.9</v>
      </c>
      <c r="H108" s="192" t="str">
        <f t="shared" si="1"/>
        <v>=12.9</v>
      </c>
      <c r="I108" s="192">
        <f>12.9</f>
        <v>12.9</v>
      </c>
    </row>
    <row r="109" spans="1:9" ht="15.75" customHeight="1">
      <c r="A109" s="173">
        <v>36</v>
      </c>
      <c r="B109" s="174" t="s">
        <v>265</v>
      </c>
      <c r="C109" s="173">
        <v>5.7</v>
      </c>
      <c r="D109" s="176">
        <v>2.2999999999999998</v>
      </c>
      <c r="E109" s="175"/>
      <c r="G109" s="193">
        <v>5.7</v>
      </c>
      <c r="H109" s="192" t="str">
        <f t="shared" si="1"/>
        <v>=5.7</v>
      </c>
      <c r="I109" s="192">
        <f>5.7</f>
        <v>5.7</v>
      </c>
    </row>
    <row r="110" spans="1:9" ht="15.75" customHeight="1">
      <c r="A110" s="173">
        <v>37</v>
      </c>
      <c r="B110" s="174" t="s">
        <v>267</v>
      </c>
      <c r="C110" s="173">
        <v>4</v>
      </c>
      <c r="D110" s="176">
        <v>2.5</v>
      </c>
      <c r="E110" s="175"/>
      <c r="G110" s="193">
        <v>4</v>
      </c>
      <c r="H110" s="192" t="str">
        <f t="shared" si="1"/>
        <v>=4</v>
      </c>
      <c r="I110" s="192">
        <f>4</f>
        <v>4</v>
      </c>
    </row>
    <row r="111" spans="1:9" ht="15.75" customHeight="1">
      <c r="A111" s="173">
        <v>38</v>
      </c>
      <c r="B111" s="174" t="s">
        <v>267</v>
      </c>
      <c r="C111" s="173">
        <v>6.2</v>
      </c>
      <c r="D111" s="176">
        <v>4</v>
      </c>
      <c r="E111" s="175"/>
      <c r="G111" s="193">
        <v>6.2</v>
      </c>
      <c r="H111" s="192" t="str">
        <f t="shared" si="1"/>
        <v>=6.2</v>
      </c>
      <c r="I111" s="192">
        <f>6.2</f>
        <v>6.2</v>
      </c>
    </row>
    <row r="112" spans="1:9" ht="15.75" customHeight="1">
      <c r="A112" s="173">
        <v>39</v>
      </c>
      <c r="B112" s="174" t="s">
        <v>229</v>
      </c>
      <c r="C112" s="173">
        <v>17.5</v>
      </c>
      <c r="D112" s="176">
        <v>5.4</v>
      </c>
      <c r="E112" s="175"/>
      <c r="G112" s="193" t="s">
        <v>456</v>
      </c>
      <c r="H112" s="192" t="str">
        <f t="shared" si="1"/>
        <v>=6.3+6.1+5.1</v>
      </c>
      <c r="I112" s="192">
        <f>6.3+6.1+5.1</f>
        <v>17.5</v>
      </c>
    </row>
    <row r="113" spans="1:9" ht="15.75" customHeight="1">
      <c r="A113" s="173">
        <v>40</v>
      </c>
      <c r="B113" s="174" t="s">
        <v>218</v>
      </c>
      <c r="C113" s="173">
        <v>20.100000000000001</v>
      </c>
      <c r="D113" s="176">
        <v>7.8</v>
      </c>
      <c r="E113" s="175"/>
      <c r="G113" s="193" t="s">
        <v>457</v>
      </c>
      <c r="H113" s="192" t="str">
        <f t="shared" si="1"/>
        <v>=10.4+9.7</v>
      </c>
      <c r="I113" s="192">
        <f>10.4+9.7</f>
        <v>20.100000000000001</v>
      </c>
    </row>
    <row r="114" spans="1:9" ht="15.75" customHeight="1">
      <c r="A114" s="173">
        <v>41</v>
      </c>
      <c r="B114" s="174" t="s">
        <v>269</v>
      </c>
      <c r="C114" s="173">
        <v>10.9</v>
      </c>
      <c r="D114" s="176">
        <v>3</v>
      </c>
      <c r="E114" s="175"/>
      <c r="G114" s="193" t="s">
        <v>458</v>
      </c>
      <c r="H114" s="192" t="str">
        <f t="shared" si="1"/>
        <v>=6+4.9</v>
      </c>
      <c r="I114" s="192">
        <f>6+4.9</f>
        <v>10.9</v>
      </c>
    </row>
    <row r="115" spans="1:9" ht="15.75" customHeight="1">
      <c r="A115" s="164"/>
      <c r="B115" s="165"/>
      <c r="C115" s="166"/>
      <c r="D115" s="166"/>
      <c r="E115" s="167"/>
    </row>
    <row r="116" spans="1:9" ht="15.75" customHeight="1">
      <c r="A116" s="168"/>
      <c r="B116" s="177"/>
      <c r="C116" s="170"/>
      <c r="D116" s="170"/>
      <c r="E116" s="171"/>
    </row>
    <row r="117" spans="1:9" ht="15.75" customHeight="1">
      <c r="A117" s="248" t="s">
        <v>246</v>
      </c>
      <c r="B117" s="249"/>
      <c r="C117" s="249"/>
      <c r="D117" s="249"/>
      <c r="E117" s="249"/>
    </row>
    <row r="118" spans="1:9" ht="15.75" customHeight="1">
      <c r="A118" s="248" t="s">
        <v>247</v>
      </c>
      <c r="B118" s="249"/>
      <c r="C118" s="249"/>
      <c r="D118" s="249"/>
      <c r="E118" s="249"/>
    </row>
    <row r="119" spans="1:9" ht="30">
      <c r="A119" s="162" t="s">
        <v>248</v>
      </c>
      <c r="B119" s="162" t="s">
        <v>249</v>
      </c>
      <c r="C119" s="163" t="s">
        <v>250</v>
      </c>
      <c r="D119" s="163" t="s">
        <v>251</v>
      </c>
      <c r="E119" s="162" t="s">
        <v>252</v>
      </c>
    </row>
    <row r="120" spans="1:9" ht="15.75" customHeight="1">
      <c r="A120" s="173">
        <v>1</v>
      </c>
      <c r="B120" s="174" t="s">
        <v>228</v>
      </c>
      <c r="C120" s="176">
        <v>18.3</v>
      </c>
      <c r="D120" s="173">
        <v>5.8</v>
      </c>
      <c r="E120" s="175"/>
    </row>
    <row r="121" spans="1:9" ht="15.75" customHeight="1">
      <c r="A121" s="173">
        <v>2</v>
      </c>
      <c r="B121" s="174" t="s">
        <v>228</v>
      </c>
      <c r="C121" s="176">
        <v>18.8</v>
      </c>
      <c r="D121" s="173">
        <v>6.5</v>
      </c>
      <c r="E121" s="175"/>
    </row>
    <row r="122" spans="1:9" ht="15.75" customHeight="1">
      <c r="A122" s="173">
        <v>3</v>
      </c>
      <c r="B122" s="174" t="s">
        <v>218</v>
      </c>
      <c r="C122" s="176" t="s">
        <v>460</v>
      </c>
      <c r="D122" s="173" t="s">
        <v>460</v>
      </c>
      <c r="E122" s="175"/>
    </row>
    <row r="123" spans="1:9" ht="15.75" customHeight="1">
      <c r="A123" s="173">
        <v>4</v>
      </c>
      <c r="B123" s="174" t="s">
        <v>218</v>
      </c>
      <c r="C123" s="176" t="s">
        <v>460</v>
      </c>
      <c r="D123" s="173" t="s">
        <v>460</v>
      </c>
      <c r="E123" s="175"/>
    </row>
    <row r="124" spans="1:9" s="179" customFormat="1" ht="15.75" customHeight="1">
      <c r="A124" s="178"/>
      <c r="B124" s="165"/>
      <c r="C124" s="166"/>
      <c r="D124" s="167"/>
      <c r="E124" s="167"/>
      <c r="G124" s="194"/>
      <c r="H124" s="194"/>
      <c r="I124" s="194"/>
    </row>
    <row r="125" spans="1:9" s="179" customFormat="1" ht="15.75" customHeight="1">
      <c r="A125" s="180"/>
      <c r="B125" s="169"/>
      <c r="C125" s="170"/>
      <c r="D125" s="171"/>
      <c r="E125" s="171"/>
      <c r="G125" s="194"/>
      <c r="H125" s="194"/>
      <c r="I125" s="194"/>
    </row>
    <row r="126" spans="1:9" s="179" customFormat="1" ht="15.75" customHeight="1">
      <c r="A126" s="180"/>
      <c r="B126" s="169"/>
      <c r="C126" s="170"/>
      <c r="D126" s="171"/>
      <c r="E126" s="171"/>
      <c r="G126" s="194"/>
      <c r="H126" s="194"/>
      <c r="I126" s="194"/>
    </row>
    <row r="127" spans="1:9" s="179" customFormat="1" ht="15.75" customHeight="1">
      <c r="A127" s="180"/>
      <c r="B127" s="169"/>
      <c r="C127" s="170"/>
      <c r="D127" s="171"/>
      <c r="E127" s="171"/>
      <c r="G127" s="194"/>
      <c r="H127" s="194"/>
      <c r="I127" s="194"/>
    </row>
    <row r="128" spans="1:9" s="179" customFormat="1" ht="15.75" customHeight="1">
      <c r="A128" s="180"/>
      <c r="B128" s="169"/>
      <c r="C128" s="170"/>
      <c r="D128" s="171"/>
      <c r="E128" s="171"/>
      <c r="G128" s="194"/>
      <c r="H128" s="194"/>
      <c r="I128" s="194"/>
    </row>
    <row r="129" spans="1:9" s="179" customFormat="1" ht="15.75" customHeight="1">
      <c r="A129" s="180"/>
      <c r="B129" s="169"/>
      <c r="C129" s="181"/>
      <c r="D129" s="182"/>
      <c r="E129" s="171"/>
      <c r="G129" s="194"/>
      <c r="H129" s="194"/>
      <c r="I129" s="194"/>
    </row>
    <row r="130" spans="1:9" s="179" customFormat="1" ht="15.75" customHeight="1">
      <c r="A130" s="180"/>
      <c r="B130" s="169"/>
      <c r="C130" s="170"/>
      <c r="D130" s="171"/>
      <c r="E130" s="171"/>
      <c r="G130" s="194"/>
      <c r="H130" s="194"/>
      <c r="I130" s="194"/>
    </row>
    <row r="131" spans="1:9" s="179" customFormat="1" ht="15.75" customHeight="1">
      <c r="A131" s="180"/>
      <c r="B131" s="169"/>
      <c r="C131" s="170"/>
      <c r="D131" s="171"/>
      <c r="E131" s="171"/>
      <c r="G131" s="194"/>
      <c r="H131" s="194"/>
      <c r="I131" s="194"/>
    </row>
    <row r="132" spans="1:9" s="179" customFormat="1" ht="15.75" customHeight="1">
      <c r="A132" s="180"/>
      <c r="B132" s="169"/>
      <c r="C132" s="170"/>
      <c r="D132" s="171"/>
      <c r="E132" s="171"/>
      <c r="G132" s="194"/>
      <c r="H132" s="194"/>
      <c r="I132" s="194"/>
    </row>
    <row r="133" spans="1:9" ht="15.75" customHeight="1">
      <c r="A133" s="177"/>
      <c r="B133" s="171"/>
      <c r="C133" s="171"/>
      <c r="D133" s="171"/>
      <c r="E133" s="171"/>
    </row>
  </sheetData>
  <mergeCells count="5">
    <mergeCell ref="A4:E5"/>
    <mergeCell ref="A71:E71"/>
    <mergeCell ref="A72:E72"/>
    <mergeCell ref="A117:E117"/>
    <mergeCell ref="A118:E118"/>
  </mergeCells>
  <phoneticPr fontId="5"/>
  <pageMargins left="0.70866141732283472" right="0.70866141732283472" top="0.74803149606299213" bottom="0.74803149606299213" header="0.31496062992125984" footer="0.31496062992125984"/>
  <pageSetup paperSize="9" scale="73" orientation="portrait" r:id="rId1"/>
  <headerFooter alignWithMargins="0"/>
  <rowBreaks count="2" manualBreakCount="2">
    <brk id="50" max="4" man="1"/>
    <brk id="100" max="4"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E75"/>
  <sheetViews>
    <sheetView view="pageBreakPreview" topLeftCell="A16" zoomScale="70" zoomScaleNormal="100" zoomScaleSheetLayoutView="70" workbookViewId="0">
      <selection activeCell="A60" sqref="A60"/>
    </sheetView>
  </sheetViews>
  <sheetFormatPr defaultRowHeight="14.25"/>
  <cols>
    <col min="1" max="1" width="44.875" style="156" customWidth="1"/>
    <col min="2" max="2" width="21" style="156" customWidth="1"/>
    <col min="3" max="3" width="8.25" style="156" customWidth="1"/>
    <col min="4" max="4" width="10.25" style="156" customWidth="1"/>
    <col min="5" max="5" width="28.625" style="156" customWidth="1"/>
    <col min="6" max="16384" width="9" style="156"/>
  </cols>
  <sheetData>
    <row r="1" spans="1:5" ht="15.75" customHeight="1">
      <c r="A1" s="248" t="s">
        <v>343</v>
      </c>
      <c r="B1" s="249"/>
    </row>
    <row r="2" spans="1:5" ht="15.75" customHeight="1">
      <c r="A2" s="1" t="s">
        <v>217</v>
      </c>
      <c r="B2" s="172"/>
      <c r="C2" s="172"/>
      <c r="D2" s="172"/>
      <c r="E2" s="172"/>
    </row>
    <row r="3" spans="1:5" ht="15.75" customHeight="1">
      <c r="A3" s="37" t="s">
        <v>210</v>
      </c>
      <c r="B3" s="172"/>
      <c r="C3" s="172"/>
      <c r="D3" s="172"/>
      <c r="E3" s="172"/>
    </row>
    <row r="4" spans="1:5" ht="15.75" customHeight="1">
      <c r="A4" s="250" t="s">
        <v>275</v>
      </c>
      <c r="B4" s="250"/>
      <c r="C4" s="250"/>
      <c r="D4" s="250"/>
      <c r="E4" s="250"/>
    </row>
    <row r="5" spans="1:5" ht="15.75" customHeight="1">
      <c r="A5" s="250"/>
      <c r="B5" s="250"/>
      <c r="C5" s="250"/>
      <c r="D5" s="250"/>
      <c r="E5" s="250"/>
    </row>
    <row r="6" spans="1:5" ht="15.75" customHeight="1">
      <c r="A6" s="157"/>
      <c r="B6" s="158"/>
    </row>
    <row r="7" spans="1:5" ht="15.75" customHeight="1">
      <c r="A7" s="251" t="s">
        <v>344</v>
      </c>
      <c r="B7" s="252"/>
    </row>
    <row r="8" spans="1:5" ht="31.5" customHeight="1">
      <c r="A8" s="162" t="s">
        <v>292</v>
      </c>
      <c r="B8" s="186" t="s">
        <v>293</v>
      </c>
    </row>
    <row r="9" spans="1:5" ht="15.75" customHeight="1">
      <c r="A9" s="183" t="s">
        <v>295</v>
      </c>
      <c r="B9" s="187">
        <v>6</v>
      </c>
    </row>
    <row r="10" spans="1:5" ht="15.75" customHeight="1">
      <c r="A10" s="183" t="s">
        <v>254</v>
      </c>
      <c r="B10" s="187">
        <v>2</v>
      </c>
    </row>
    <row r="11" spans="1:5" ht="15.75" customHeight="1">
      <c r="A11" s="183" t="s">
        <v>255</v>
      </c>
      <c r="B11" s="187">
        <v>3</v>
      </c>
    </row>
    <row r="12" spans="1:5" ht="15.75" customHeight="1">
      <c r="A12" s="183" t="s">
        <v>227</v>
      </c>
      <c r="B12" s="187">
        <v>1</v>
      </c>
    </row>
    <row r="13" spans="1:5" ht="15.75" customHeight="1">
      <c r="A13" s="183" t="s">
        <v>256</v>
      </c>
      <c r="B13" s="187">
        <v>8</v>
      </c>
    </row>
    <row r="14" spans="1:5" ht="15.75" customHeight="1">
      <c r="A14" s="183" t="s">
        <v>257</v>
      </c>
      <c r="B14" s="187">
        <v>1</v>
      </c>
    </row>
    <row r="15" spans="1:5" ht="15.75" customHeight="1">
      <c r="A15" s="183" t="s">
        <v>296</v>
      </c>
      <c r="B15" s="187">
        <v>1</v>
      </c>
    </row>
    <row r="16" spans="1:5" ht="15.75" customHeight="1">
      <c r="A16" s="183" t="s">
        <v>297</v>
      </c>
      <c r="B16" s="187">
        <v>3</v>
      </c>
    </row>
    <row r="17" spans="1:2" ht="15.75" customHeight="1">
      <c r="A17" s="183" t="s">
        <v>298</v>
      </c>
      <c r="B17" s="187">
        <v>1</v>
      </c>
    </row>
    <row r="18" spans="1:2" ht="15.75" customHeight="1">
      <c r="A18" s="183" t="s">
        <v>299</v>
      </c>
      <c r="B18" s="187">
        <v>1</v>
      </c>
    </row>
    <row r="19" spans="1:2" ht="15.75" customHeight="1">
      <c r="A19" s="183" t="s">
        <v>260</v>
      </c>
      <c r="B19" s="187">
        <v>2</v>
      </c>
    </row>
    <row r="20" spans="1:2" ht="15.75" customHeight="1">
      <c r="A20" s="183" t="s">
        <v>300</v>
      </c>
      <c r="B20" s="187">
        <v>1</v>
      </c>
    </row>
    <row r="21" spans="1:2" ht="15.75" customHeight="1">
      <c r="A21" s="183" t="s">
        <v>301</v>
      </c>
      <c r="B21" s="187">
        <v>1</v>
      </c>
    </row>
    <row r="22" spans="1:2" ht="15.75" customHeight="1">
      <c r="A22" s="183" t="s">
        <v>302</v>
      </c>
      <c r="B22" s="187">
        <v>1</v>
      </c>
    </row>
    <row r="23" spans="1:2" ht="15.75" customHeight="1">
      <c r="A23" s="183" t="s">
        <v>303</v>
      </c>
      <c r="B23" s="187">
        <v>1</v>
      </c>
    </row>
    <row r="24" spans="1:2" ht="15.75" customHeight="1">
      <c r="A24" s="183" t="s">
        <v>261</v>
      </c>
      <c r="B24" s="187">
        <v>15</v>
      </c>
    </row>
    <row r="25" spans="1:2" ht="15.75" customHeight="1">
      <c r="A25" s="183" t="s">
        <v>304</v>
      </c>
      <c r="B25" s="187">
        <v>1</v>
      </c>
    </row>
    <row r="26" spans="1:2" ht="15.75" customHeight="1">
      <c r="A26" s="183" t="s">
        <v>286</v>
      </c>
      <c r="B26" s="187">
        <v>7</v>
      </c>
    </row>
    <row r="27" spans="1:2" ht="15.75" customHeight="1">
      <c r="A27" s="183" t="s">
        <v>305</v>
      </c>
      <c r="B27" s="187">
        <v>5</v>
      </c>
    </row>
    <row r="28" spans="1:2" ht="15.75" customHeight="1">
      <c r="A28" s="183" t="s">
        <v>225</v>
      </c>
      <c r="B28" s="187">
        <v>3</v>
      </c>
    </row>
    <row r="29" spans="1:2" ht="15.75" customHeight="1">
      <c r="A29" s="183" t="s">
        <v>306</v>
      </c>
      <c r="B29" s="187">
        <v>2</v>
      </c>
    </row>
    <row r="30" spans="1:2" ht="15.75" customHeight="1">
      <c r="A30" s="183" t="s">
        <v>307</v>
      </c>
      <c r="B30" s="187">
        <v>15</v>
      </c>
    </row>
    <row r="31" spans="1:2" ht="15.75" customHeight="1">
      <c r="A31" s="183" t="s">
        <v>308</v>
      </c>
      <c r="B31" s="187">
        <v>11</v>
      </c>
    </row>
    <row r="32" spans="1:2" ht="15.75" customHeight="1">
      <c r="A32" s="183" t="s">
        <v>258</v>
      </c>
      <c r="B32" s="187">
        <v>5</v>
      </c>
    </row>
    <row r="33" spans="1:2" ht="15.75" customHeight="1">
      <c r="A33" s="183" t="s">
        <v>221</v>
      </c>
      <c r="B33" s="187">
        <v>5</v>
      </c>
    </row>
    <row r="34" spans="1:2" ht="15.75" customHeight="1">
      <c r="A34" s="183" t="s">
        <v>214</v>
      </c>
      <c r="B34" s="187">
        <v>6</v>
      </c>
    </row>
    <row r="35" spans="1:2" ht="15.75" customHeight="1">
      <c r="A35" s="183" t="s">
        <v>291</v>
      </c>
      <c r="B35" s="187">
        <v>3</v>
      </c>
    </row>
    <row r="36" spans="1:2" ht="15.75" customHeight="1">
      <c r="A36" s="183" t="s">
        <v>228</v>
      </c>
      <c r="B36" s="187">
        <v>1</v>
      </c>
    </row>
    <row r="37" spans="1:2" ht="15.75" customHeight="1">
      <c r="A37" s="183" t="s">
        <v>309</v>
      </c>
      <c r="B37" s="187">
        <v>1</v>
      </c>
    </row>
    <row r="38" spans="1:2" ht="15.75" customHeight="1">
      <c r="A38" s="183" t="s">
        <v>272</v>
      </c>
      <c r="B38" s="187">
        <v>4</v>
      </c>
    </row>
    <row r="39" spans="1:2" ht="15.75" customHeight="1">
      <c r="A39" s="183" t="s">
        <v>310</v>
      </c>
      <c r="B39" s="187">
        <v>2</v>
      </c>
    </row>
    <row r="40" spans="1:2" ht="15.75" customHeight="1">
      <c r="A40" s="183" t="s">
        <v>264</v>
      </c>
      <c r="B40" s="187">
        <v>3</v>
      </c>
    </row>
    <row r="41" spans="1:2" ht="15.75" customHeight="1">
      <c r="A41" s="183" t="s">
        <v>311</v>
      </c>
      <c r="B41" s="187">
        <v>2</v>
      </c>
    </row>
    <row r="42" spans="1:2" ht="15.75" customHeight="1">
      <c r="A42" s="183" t="s">
        <v>312</v>
      </c>
      <c r="B42" s="187">
        <v>1</v>
      </c>
    </row>
    <row r="43" spans="1:2" ht="15.75" customHeight="1">
      <c r="A43" s="183" t="s">
        <v>265</v>
      </c>
      <c r="B43" s="187">
        <v>5</v>
      </c>
    </row>
    <row r="44" spans="1:2" ht="15.75" customHeight="1">
      <c r="A44" s="183" t="s">
        <v>266</v>
      </c>
      <c r="B44" s="187">
        <v>5</v>
      </c>
    </row>
    <row r="45" spans="1:2" ht="15.75" customHeight="1">
      <c r="A45" s="183" t="s">
        <v>267</v>
      </c>
      <c r="B45" s="187">
        <v>3</v>
      </c>
    </row>
    <row r="46" spans="1:2" ht="15.75" customHeight="1">
      <c r="A46" s="183" t="s">
        <v>229</v>
      </c>
      <c r="B46" s="187">
        <v>8</v>
      </c>
    </row>
    <row r="47" spans="1:2" ht="15.75" customHeight="1">
      <c r="A47" s="183" t="s">
        <v>313</v>
      </c>
      <c r="B47" s="187">
        <v>2</v>
      </c>
    </row>
    <row r="48" spans="1:2" ht="15.75" customHeight="1">
      <c r="A48" s="183" t="s">
        <v>314</v>
      </c>
      <c r="B48" s="187">
        <v>1</v>
      </c>
    </row>
    <row r="49" spans="1:2" ht="15.75" customHeight="1">
      <c r="A49" s="183" t="s">
        <v>270</v>
      </c>
      <c r="B49" s="187">
        <v>5</v>
      </c>
    </row>
    <row r="50" spans="1:2" ht="15.75" customHeight="1">
      <c r="A50" s="183" t="s">
        <v>315</v>
      </c>
      <c r="B50" s="187">
        <v>1</v>
      </c>
    </row>
    <row r="51" spans="1:2" ht="15.75" customHeight="1">
      <c r="A51" s="183" t="s">
        <v>316</v>
      </c>
      <c r="B51" s="187">
        <v>0.1</v>
      </c>
    </row>
    <row r="52" spans="1:2" ht="15.75" customHeight="1">
      <c r="A52" s="183" t="s">
        <v>317</v>
      </c>
      <c r="B52" s="187">
        <v>20</v>
      </c>
    </row>
    <row r="53" spans="1:2" ht="15.75" customHeight="1">
      <c r="A53" s="183" t="s">
        <v>318</v>
      </c>
      <c r="B53" s="187">
        <v>1</v>
      </c>
    </row>
    <row r="54" spans="1:2" ht="15.75" customHeight="1">
      <c r="A54" s="183" t="s">
        <v>319</v>
      </c>
      <c r="B54" s="187">
        <v>1</v>
      </c>
    </row>
    <row r="55" spans="1:2" ht="15.75" customHeight="1">
      <c r="A55" s="183" t="s">
        <v>320</v>
      </c>
      <c r="B55" s="187">
        <v>2</v>
      </c>
    </row>
    <row r="56" spans="1:2" ht="15.75" customHeight="1">
      <c r="A56" s="183" t="s">
        <v>321</v>
      </c>
      <c r="B56" s="187">
        <v>10</v>
      </c>
    </row>
    <row r="57" spans="1:2" ht="15.75" customHeight="1">
      <c r="A57" s="183" t="s">
        <v>322</v>
      </c>
      <c r="B57" s="187">
        <v>10</v>
      </c>
    </row>
    <row r="58" spans="1:2" ht="15.75" customHeight="1">
      <c r="A58" s="183" t="s">
        <v>323</v>
      </c>
      <c r="B58" s="187">
        <v>20</v>
      </c>
    </row>
    <row r="59" spans="1:2" ht="15.75" customHeight="1">
      <c r="A59" s="157"/>
      <c r="B59" s="185"/>
    </row>
    <row r="60" spans="1:2" ht="15.75" customHeight="1">
      <c r="A60" s="190" t="s">
        <v>461</v>
      </c>
      <c r="B60" s="185"/>
    </row>
    <row r="61" spans="1:2" ht="15.75" customHeight="1">
      <c r="A61" s="169"/>
      <c r="B61" s="184"/>
    </row>
    <row r="62" spans="1:2" ht="15.75" customHeight="1">
      <c r="A62" s="169"/>
      <c r="B62" s="184"/>
    </row>
    <row r="63" spans="1:2" ht="15.75" customHeight="1">
      <c r="A63" s="169"/>
      <c r="B63" s="184"/>
    </row>
    <row r="64" spans="1:2" ht="15.75" customHeight="1">
      <c r="A64" s="169"/>
      <c r="B64" s="184"/>
    </row>
    <row r="65" spans="1:2" ht="15.75" customHeight="1">
      <c r="A65" s="169"/>
      <c r="B65" s="184"/>
    </row>
    <row r="66" spans="1:2" ht="15.75" customHeight="1">
      <c r="A66" s="169"/>
      <c r="B66" s="184"/>
    </row>
    <row r="67" spans="1:2" ht="15.75" customHeight="1">
      <c r="A67" s="169"/>
      <c r="B67" s="184"/>
    </row>
    <row r="68" spans="1:2" ht="15.75" customHeight="1">
      <c r="A68" s="169"/>
      <c r="B68" s="184"/>
    </row>
    <row r="69" spans="1:2" ht="15.75" customHeight="1">
      <c r="A69" s="169"/>
      <c r="B69" s="184"/>
    </row>
    <row r="70" spans="1:2" ht="15.75" customHeight="1">
      <c r="A70" s="169"/>
      <c r="B70" s="184"/>
    </row>
    <row r="71" spans="1:2" ht="15.75" customHeight="1">
      <c r="A71" s="169"/>
      <c r="B71" s="184"/>
    </row>
    <row r="72" spans="1:2" ht="15.75" customHeight="1">
      <c r="A72" s="169"/>
      <c r="B72" s="184"/>
    </row>
    <row r="73" spans="1:2" ht="15.75" customHeight="1">
      <c r="A73" s="169"/>
      <c r="B73" s="184"/>
    </row>
    <row r="74" spans="1:2" ht="15.75" customHeight="1">
      <c r="A74" s="169"/>
      <c r="B74" s="184"/>
    </row>
    <row r="75" spans="1:2" ht="15.75" customHeight="1">
      <c r="A75" s="169"/>
      <c r="B75" s="184"/>
    </row>
  </sheetData>
  <mergeCells count="3">
    <mergeCell ref="A1:B1"/>
    <mergeCell ref="A7:B7"/>
    <mergeCell ref="A4:E5"/>
  </mergeCells>
  <phoneticPr fontId="5"/>
  <pageMargins left="0.70866141732283472" right="0.70866141732283472" top="0.74803149606299213" bottom="0.74803149606299213" header="0.31496062992125984" footer="0.31496062992125984"/>
  <pageSetup paperSize="9" scale="72"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E46"/>
  <sheetViews>
    <sheetView view="pageBreakPreview" zoomScale="70" zoomScaleNormal="100" zoomScaleSheetLayoutView="70" workbookViewId="0">
      <selection sqref="A1:B1"/>
    </sheetView>
  </sheetViews>
  <sheetFormatPr defaultRowHeight="14.25"/>
  <cols>
    <col min="1" max="1" width="44.875" style="156" customWidth="1"/>
    <col min="2" max="2" width="21" style="156" customWidth="1"/>
    <col min="3" max="3" width="8.25" style="156" customWidth="1"/>
    <col min="4" max="4" width="10.25" style="156" customWidth="1"/>
    <col min="5" max="5" width="28.625" style="156" customWidth="1"/>
    <col min="6" max="16384" width="9" style="156"/>
  </cols>
  <sheetData>
    <row r="1" spans="1:5" ht="15.75" customHeight="1">
      <c r="A1" s="248" t="s">
        <v>365</v>
      </c>
      <c r="B1" s="249"/>
    </row>
    <row r="2" spans="1:5" ht="15.75" customHeight="1">
      <c r="A2" s="1" t="s">
        <v>223</v>
      </c>
      <c r="B2" s="172"/>
      <c r="C2" s="172"/>
      <c r="D2" s="172"/>
      <c r="E2" s="172"/>
    </row>
    <row r="3" spans="1:5" ht="15.75" customHeight="1">
      <c r="A3" s="37" t="s">
        <v>210</v>
      </c>
      <c r="B3" s="172"/>
      <c r="C3" s="172"/>
      <c r="D3" s="172"/>
      <c r="E3" s="172"/>
    </row>
    <row r="4" spans="1:5" ht="15.75" customHeight="1">
      <c r="A4" s="250" t="s">
        <v>275</v>
      </c>
      <c r="B4" s="250"/>
      <c r="C4" s="250"/>
      <c r="D4" s="250"/>
      <c r="E4" s="250"/>
    </row>
    <row r="5" spans="1:5" ht="15.75" customHeight="1">
      <c r="A5" s="250"/>
      <c r="B5" s="250"/>
      <c r="C5" s="250"/>
      <c r="D5" s="250"/>
      <c r="E5" s="250"/>
    </row>
    <row r="6" spans="1:5" ht="15.75" customHeight="1">
      <c r="A6" s="157"/>
      <c r="B6" s="158"/>
    </row>
    <row r="7" spans="1:5" ht="15.75" customHeight="1">
      <c r="A7" s="251" t="s">
        <v>345</v>
      </c>
      <c r="B7" s="252"/>
    </row>
    <row r="8" spans="1:5" ht="31.5" customHeight="1">
      <c r="A8" s="162" t="s">
        <v>292</v>
      </c>
      <c r="B8" s="186" t="s">
        <v>293</v>
      </c>
    </row>
    <row r="9" spans="1:5" ht="15.75" customHeight="1">
      <c r="A9" s="183" t="s">
        <v>222</v>
      </c>
      <c r="B9" s="187">
        <v>1</v>
      </c>
    </row>
    <row r="10" spans="1:5" ht="15.75" customHeight="1">
      <c r="A10" s="183" t="s">
        <v>324</v>
      </c>
      <c r="B10" s="187">
        <v>1</v>
      </c>
    </row>
    <row r="11" spans="1:5" ht="15.75" customHeight="1">
      <c r="A11" s="183" t="s">
        <v>256</v>
      </c>
      <c r="B11" s="187">
        <v>2</v>
      </c>
    </row>
    <row r="12" spans="1:5" ht="15.75" customHeight="1">
      <c r="A12" s="183" t="s">
        <v>259</v>
      </c>
      <c r="B12" s="187">
        <v>2</v>
      </c>
    </row>
    <row r="13" spans="1:5" ht="15.75" customHeight="1">
      <c r="A13" s="183" t="s">
        <v>325</v>
      </c>
      <c r="B13" s="187">
        <v>3</v>
      </c>
    </row>
    <row r="14" spans="1:5" ht="15.75" customHeight="1">
      <c r="A14" s="183" t="s">
        <v>276</v>
      </c>
      <c r="B14" s="187">
        <v>2</v>
      </c>
    </row>
    <row r="15" spans="1:5" ht="15.75" customHeight="1">
      <c r="A15" s="183" t="s">
        <v>326</v>
      </c>
      <c r="B15" s="187">
        <v>2</v>
      </c>
    </row>
    <row r="16" spans="1:5" ht="15.75" customHeight="1">
      <c r="A16" s="183" t="s">
        <v>261</v>
      </c>
      <c r="B16" s="187">
        <v>50</v>
      </c>
    </row>
    <row r="17" spans="1:2" ht="15.75" customHeight="1">
      <c r="A17" s="183" t="s">
        <v>258</v>
      </c>
      <c r="B17" s="187">
        <v>2</v>
      </c>
    </row>
    <row r="18" spans="1:2" ht="15.75" customHeight="1">
      <c r="A18" s="183" t="s">
        <v>280</v>
      </c>
      <c r="B18" s="187">
        <v>1</v>
      </c>
    </row>
    <row r="19" spans="1:2" ht="15.75" customHeight="1">
      <c r="A19" s="183" t="s">
        <v>220</v>
      </c>
      <c r="B19" s="187">
        <v>3</v>
      </c>
    </row>
    <row r="20" spans="1:2" ht="15.75" customHeight="1">
      <c r="A20" s="183" t="s">
        <v>264</v>
      </c>
      <c r="B20" s="187">
        <v>2</v>
      </c>
    </row>
    <row r="21" spans="1:2" ht="15.75" customHeight="1">
      <c r="A21" s="183" t="s">
        <v>273</v>
      </c>
      <c r="B21" s="187">
        <v>1</v>
      </c>
    </row>
    <row r="22" spans="1:2" ht="15.75" customHeight="1">
      <c r="A22" s="183" t="s">
        <v>327</v>
      </c>
      <c r="B22" s="187">
        <v>3</v>
      </c>
    </row>
    <row r="23" spans="1:2" ht="15.75" customHeight="1">
      <c r="A23" s="183" t="s">
        <v>315</v>
      </c>
      <c r="B23" s="187">
        <v>4</v>
      </c>
    </row>
    <row r="24" spans="1:2" ht="15.75" customHeight="1">
      <c r="A24" s="183" t="s">
        <v>320</v>
      </c>
      <c r="B24" s="187">
        <v>1</v>
      </c>
    </row>
    <row r="25" spans="1:2" ht="15.75" customHeight="1">
      <c r="A25" s="183" t="s">
        <v>328</v>
      </c>
      <c r="B25" s="187">
        <v>1</v>
      </c>
    </row>
    <row r="26" spans="1:2" ht="15.75" customHeight="1">
      <c r="A26" s="183" t="s">
        <v>317</v>
      </c>
      <c r="B26" s="187">
        <v>1</v>
      </c>
    </row>
    <row r="27" spans="1:2" ht="15.75" customHeight="1">
      <c r="A27" s="183" t="s">
        <v>329</v>
      </c>
      <c r="B27" s="187" t="s">
        <v>294</v>
      </c>
    </row>
    <row r="28" spans="1:2" ht="15.75" customHeight="1">
      <c r="A28" s="183" t="s">
        <v>330</v>
      </c>
      <c r="B28" s="187" t="s">
        <v>294</v>
      </c>
    </row>
    <row r="29" spans="1:2" ht="15.75" customHeight="1">
      <c r="A29" s="183" t="s">
        <v>331</v>
      </c>
      <c r="B29" s="187" t="s">
        <v>294</v>
      </c>
    </row>
    <row r="30" spans="1:2" ht="15.75" customHeight="1">
      <c r="A30" s="157"/>
      <c r="B30" s="185"/>
    </row>
    <row r="31" spans="1:2" ht="15.75" customHeight="1">
      <c r="A31" s="190" t="s">
        <v>461</v>
      </c>
      <c r="B31" s="185"/>
    </row>
    <row r="32" spans="1:2" ht="15.75" customHeight="1">
      <c r="A32" s="169"/>
      <c r="B32" s="184"/>
    </row>
    <row r="33" spans="1:2" ht="15.75" customHeight="1">
      <c r="A33" s="169"/>
      <c r="B33" s="184"/>
    </row>
    <row r="34" spans="1:2" ht="15.75" customHeight="1">
      <c r="A34" s="169"/>
      <c r="B34" s="184"/>
    </row>
    <row r="35" spans="1:2" ht="15.75" customHeight="1">
      <c r="A35" s="169"/>
      <c r="B35" s="184"/>
    </row>
    <row r="36" spans="1:2" ht="15.75" customHeight="1">
      <c r="A36" s="169"/>
      <c r="B36" s="184"/>
    </row>
    <row r="37" spans="1:2" ht="15.75" customHeight="1">
      <c r="A37" s="169"/>
      <c r="B37" s="184"/>
    </row>
    <row r="38" spans="1:2" ht="15.75" customHeight="1">
      <c r="A38" s="169"/>
      <c r="B38" s="184"/>
    </row>
    <row r="39" spans="1:2" ht="15.75" customHeight="1">
      <c r="A39" s="169"/>
      <c r="B39" s="184"/>
    </row>
    <row r="40" spans="1:2" ht="15.75" customHeight="1">
      <c r="A40" s="169"/>
      <c r="B40" s="184"/>
    </row>
    <row r="41" spans="1:2" ht="15.75" customHeight="1">
      <c r="A41" s="169"/>
      <c r="B41" s="184"/>
    </row>
    <row r="42" spans="1:2" ht="15.75" customHeight="1">
      <c r="A42" s="169"/>
      <c r="B42" s="184"/>
    </row>
    <row r="43" spans="1:2" ht="15.75" customHeight="1">
      <c r="A43" s="169"/>
      <c r="B43" s="184"/>
    </row>
    <row r="44" spans="1:2" ht="15.75" customHeight="1">
      <c r="A44" s="169"/>
      <c r="B44" s="184"/>
    </row>
    <row r="45" spans="1:2" ht="15.75" customHeight="1">
      <c r="A45" s="169"/>
      <c r="B45" s="184"/>
    </row>
    <row r="46" spans="1:2" ht="15.75" customHeight="1">
      <c r="A46" s="169"/>
      <c r="B46" s="184"/>
    </row>
  </sheetData>
  <mergeCells count="3">
    <mergeCell ref="A1:B1"/>
    <mergeCell ref="A7:B7"/>
    <mergeCell ref="A4:E5"/>
  </mergeCells>
  <phoneticPr fontId="5"/>
  <pageMargins left="0.70866141732283472" right="0.70866141732283472" top="0.74803149606299213" bottom="0.74803149606299213" header="0.31496062992125984" footer="0.31496062992125984"/>
  <pageSetup paperSize="9" scale="72"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E38"/>
  <sheetViews>
    <sheetView view="pageBreakPreview" zoomScale="70" zoomScaleNormal="100" zoomScaleSheetLayoutView="70" workbookViewId="0">
      <selection sqref="A1:B1"/>
    </sheetView>
  </sheetViews>
  <sheetFormatPr defaultRowHeight="14.25"/>
  <cols>
    <col min="1" max="1" width="44.875" style="156" customWidth="1"/>
    <col min="2" max="2" width="21" style="156" customWidth="1"/>
    <col min="3" max="3" width="8.25" style="156" customWidth="1"/>
    <col min="4" max="4" width="10.25" style="156" customWidth="1"/>
    <col min="5" max="5" width="28.625" style="156" customWidth="1"/>
    <col min="6" max="16384" width="9" style="156"/>
  </cols>
  <sheetData>
    <row r="1" spans="1:5" ht="15.75" customHeight="1">
      <c r="A1" s="248" t="s">
        <v>366</v>
      </c>
      <c r="B1" s="249"/>
    </row>
    <row r="2" spans="1:5" ht="15.75" customHeight="1">
      <c r="A2" s="1" t="s">
        <v>224</v>
      </c>
      <c r="B2" s="172"/>
      <c r="C2" s="172"/>
      <c r="D2" s="172"/>
      <c r="E2" s="172"/>
    </row>
    <row r="3" spans="1:5" ht="15.75" customHeight="1">
      <c r="A3" s="37" t="s">
        <v>210</v>
      </c>
      <c r="B3" s="172"/>
      <c r="C3" s="172"/>
      <c r="D3" s="172"/>
      <c r="E3" s="172"/>
    </row>
    <row r="4" spans="1:5" ht="15.75" customHeight="1">
      <c r="A4" s="250" t="s">
        <v>275</v>
      </c>
      <c r="B4" s="250"/>
      <c r="C4" s="250"/>
      <c r="D4" s="250"/>
      <c r="E4" s="250"/>
    </row>
    <row r="5" spans="1:5" ht="15.75" customHeight="1">
      <c r="A5" s="250"/>
      <c r="B5" s="250"/>
      <c r="C5" s="250"/>
      <c r="D5" s="250"/>
      <c r="E5" s="250"/>
    </row>
    <row r="6" spans="1:5" ht="15.75" customHeight="1">
      <c r="A6" s="157"/>
      <c r="B6" s="158"/>
    </row>
    <row r="7" spans="1:5" ht="15.75" customHeight="1">
      <c r="A7" s="251" t="s">
        <v>346</v>
      </c>
      <c r="B7" s="252"/>
    </row>
    <row r="8" spans="1:5" ht="31.5" customHeight="1">
      <c r="A8" s="162" t="s">
        <v>292</v>
      </c>
      <c r="B8" s="186" t="s">
        <v>293</v>
      </c>
    </row>
    <row r="9" spans="1:5" ht="15.75" customHeight="1">
      <c r="A9" s="183" t="s">
        <v>220</v>
      </c>
      <c r="B9" s="187" t="s">
        <v>332</v>
      </c>
    </row>
    <row r="10" spans="1:5" ht="15.75" customHeight="1">
      <c r="A10" s="183" t="s">
        <v>325</v>
      </c>
      <c r="B10" s="187">
        <v>1</v>
      </c>
    </row>
    <row r="11" spans="1:5" ht="15.75" customHeight="1">
      <c r="A11" s="183" t="s">
        <v>333</v>
      </c>
      <c r="B11" s="187">
        <v>2</v>
      </c>
    </row>
    <row r="12" spans="1:5" ht="15.75" customHeight="1">
      <c r="A12" s="183" t="s">
        <v>334</v>
      </c>
      <c r="B12" s="187">
        <v>5</v>
      </c>
    </row>
    <row r="13" spans="1:5" ht="15.75" customHeight="1">
      <c r="A13" s="183" t="s">
        <v>335</v>
      </c>
      <c r="B13" s="187">
        <v>2</v>
      </c>
    </row>
    <row r="14" spans="1:5" ht="15.75" customHeight="1">
      <c r="A14" s="183" t="s">
        <v>336</v>
      </c>
      <c r="B14" s="187">
        <v>2</v>
      </c>
    </row>
    <row r="15" spans="1:5" ht="15.75" customHeight="1">
      <c r="A15" s="183" t="s">
        <v>309</v>
      </c>
      <c r="B15" s="187">
        <v>1</v>
      </c>
    </row>
    <row r="16" spans="1:5" ht="15.75" customHeight="1">
      <c r="A16" s="183" t="s">
        <v>258</v>
      </c>
      <c r="B16" s="187">
        <v>1</v>
      </c>
    </row>
    <row r="17" spans="1:2" ht="15.75" customHeight="1">
      <c r="A17" s="183" t="s">
        <v>337</v>
      </c>
      <c r="B17" s="187">
        <v>5</v>
      </c>
    </row>
    <row r="18" spans="1:2" ht="15.75" customHeight="1">
      <c r="A18" s="183" t="s">
        <v>330</v>
      </c>
      <c r="B18" s="187" t="s">
        <v>341</v>
      </c>
    </row>
    <row r="19" spans="1:2" ht="15.75" customHeight="1">
      <c r="A19" s="183" t="s">
        <v>338</v>
      </c>
      <c r="B19" s="187" t="s">
        <v>341</v>
      </c>
    </row>
    <row r="20" spans="1:2" ht="15.75" customHeight="1">
      <c r="A20" s="183" t="s">
        <v>339</v>
      </c>
      <c r="B20" s="187" t="s">
        <v>341</v>
      </c>
    </row>
    <row r="21" spans="1:2" ht="15.75" customHeight="1">
      <c r="A21" s="183" t="s">
        <v>340</v>
      </c>
      <c r="B21" s="187">
        <v>1</v>
      </c>
    </row>
    <row r="22" spans="1:2" ht="15.75" customHeight="1">
      <c r="A22" s="157"/>
      <c r="B22" s="185"/>
    </row>
    <row r="23" spans="1:2" ht="15.75" customHeight="1">
      <c r="A23" s="190" t="s">
        <v>461</v>
      </c>
      <c r="B23" s="185"/>
    </row>
    <row r="24" spans="1:2" ht="15.75" customHeight="1">
      <c r="A24" s="169"/>
      <c r="B24" s="184"/>
    </row>
    <row r="25" spans="1:2" ht="15.75" customHeight="1">
      <c r="A25" s="169"/>
      <c r="B25" s="184"/>
    </row>
    <row r="26" spans="1:2" ht="15.75" customHeight="1">
      <c r="A26" s="169"/>
      <c r="B26" s="184"/>
    </row>
    <row r="27" spans="1:2" ht="15.75" customHeight="1">
      <c r="A27" s="169"/>
      <c r="B27" s="184"/>
    </row>
    <row r="28" spans="1:2" ht="15.75" customHeight="1">
      <c r="A28" s="169"/>
      <c r="B28" s="184"/>
    </row>
    <row r="29" spans="1:2" ht="15.75" customHeight="1">
      <c r="A29" s="169"/>
      <c r="B29" s="184"/>
    </row>
    <row r="30" spans="1:2" ht="15.75" customHeight="1">
      <c r="A30" s="169"/>
      <c r="B30" s="184"/>
    </row>
    <row r="31" spans="1:2" ht="15.75" customHeight="1">
      <c r="A31" s="169"/>
      <c r="B31" s="184"/>
    </row>
    <row r="32" spans="1:2" ht="15.75" customHeight="1">
      <c r="A32" s="169"/>
      <c r="B32" s="184"/>
    </row>
    <row r="33" spans="1:2" ht="15.75" customHeight="1">
      <c r="A33" s="169"/>
      <c r="B33" s="184"/>
    </row>
    <row r="34" spans="1:2" ht="15.75" customHeight="1">
      <c r="A34" s="169"/>
      <c r="B34" s="184"/>
    </row>
    <row r="35" spans="1:2" ht="15.75" customHeight="1">
      <c r="A35" s="169"/>
      <c r="B35" s="184"/>
    </row>
    <row r="36" spans="1:2" ht="15.75" customHeight="1">
      <c r="A36" s="169"/>
      <c r="B36" s="184"/>
    </row>
    <row r="37" spans="1:2" ht="15.75" customHeight="1">
      <c r="A37" s="169"/>
      <c r="B37" s="184"/>
    </row>
    <row r="38" spans="1:2" ht="15.75" customHeight="1">
      <c r="A38" s="169"/>
      <c r="B38" s="184"/>
    </row>
  </sheetData>
  <mergeCells count="3">
    <mergeCell ref="A1:B1"/>
    <mergeCell ref="A7:B7"/>
    <mergeCell ref="A4:E5"/>
  </mergeCells>
  <phoneticPr fontId="5"/>
  <pageMargins left="0.70866141732283472" right="0.70866141732283472" top="0.74803149606299213" bottom="0.74803149606299213" header="0.31496062992125984" footer="0.31496062992125984"/>
  <pageSetup paperSize="9" scale="7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12</vt:i4>
      </vt:variant>
    </vt:vector>
  </HeadingPairs>
  <TitlesOfParts>
    <vt:vector size="26" baseType="lpstr">
      <vt:lpstr>id_ma_D1_2014</vt:lpstr>
      <vt:lpstr>mn_D1_2013</vt:lpstr>
      <vt:lpstr>cn_E1_2014</vt:lpstr>
      <vt:lpstr>cn_E2_2014</vt:lpstr>
      <vt:lpstr>cn_E3_2014</vt:lpstr>
      <vt:lpstr>cn_id_E4_2014</vt:lpstr>
      <vt:lpstr>jp_E1_2014</vt:lpstr>
      <vt:lpstr>jp_E2_2014</vt:lpstr>
      <vt:lpstr>cn_F1</vt:lpstr>
      <vt:lpstr>cn_F2</vt:lpstr>
      <vt:lpstr>cn_F3</vt:lpstr>
      <vt:lpstr>cn_G1</vt:lpstr>
      <vt:lpstr>cn_G2</vt:lpstr>
      <vt:lpstr>cn_G3</vt:lpstr>
      <vt:lpstr>cn_E1_2014!Print_Area</vt:lpstr>
      <vt:lpstr>cn_F1!Print_Area</vt:lpstr>
      <vt:lpstr>cn_F2!Print_Area</vt:lpstr>
      <vt:lpstr>cn_F3!Print_Area</vt:lpstr>
      <vt:lpstr>cn_G1!Print_Area</vt:lpstr>
      <vt:lpstr>cn_G2!Print_Area</vt:lpstr>
      <vt:lpstr>cn_G3!Print_Area</vt:lpstr>
      <vt:lpstr>cn_id_E4_2014!Print_Area</vt:lpstr>
      <vt:lpstr>id_ma_D1_2014!Print_Area</vt:lpstr>
      <vt:lpstr>jp_E1_2014!Print_Area</vt:lpstr>
      <vt:lpstr>jp_E2_2014!Print_Area</vt:lpstr>
      <vt:lpstr>mn_D1_2013!Print_Area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2011-06-10T05:57:44Z</cp:lastPrinted>
  <dcterms:created xsi:type="dcterms:W3CDTF">1996-12-17T01:32:42Z</dcterms:created>
  <dcterms:modified xsi:type="dcterms:W3CDTF">2015-09-06T05:00:34Z</dcterms:modified>
</cp:coreProperties>
</file>